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2.xml" ContentType="application/vnd.openxmlformats-officedocument.drawingml.chartshapes+xml"/>
  <Override PartName="/xl/drawings/drawing3.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9315" windowHeight="7275" tabRatio="746" activeTab="3"/>
  </bookViews>
  <sheets>
    <sheet name="Introduction" sheetId="1" r:id="rId1"/>
    <sheet name="Cost Summary" sheetId="2" r:id="rId2"/>
    <sheet name="Scenario Costs All Facilities" sheetId="3" r:id="rId3"/>
    <sheet name="Scenario Costs Provincial" sheetId="4" r:id="rId4"/>
    <sheet name="HCRW generation data" sheetId="5" r:id="rId5"/>
    <sheet name="Transport Costs" sheetId="6" r:id="rId6"/>
    <sheet name="Round Trip Distances" sheetId="7" r:id="rId7"/>
    <sheet name="Load and Unload Times" sheetId="8" r:id="rId8"/>
    <sheet name="Treatment Scenario Costs" sheetId="9" r:id="rId9"/>
    <sheet name="HCRW Treatment Cost Models" sheetId="10" r:id="rId10"/>
    <sheet name="Disinfection of wheelie bins" sheetId="11" r:id="rId11"/>
    <sheet name="Status quo costs All Facilities" sheetId="12" r:id="rId12"/>
    <sheet name="Status quo costs Provincial " sheetId="13" r:id="rId13"/>
    <sheet name="Graphs" sheetId="14" r:id="rId14"/>
    <sheet name="Graphs (colour)" sheetId="15" r:id="rId15"/>
  </sheets>
  <externalReferences>
    <externalReference r:id="rId18"/>
  </externalReferences>
  <definedNames>
    <definedName name="eighty_km_table">'Transport Costs'!$E$124:$I$148</definedName>
  </definedNames>
  <calcPr fullCalcOnLoad="1"/>
</workbook>
</file>

<file path=xl/sharedStrings.xml><?xml version="1.0" encoding="utf-8"?>
<sst xmlns="http://schemas.openxmlformats.org/spreadsheetml/2006/main" count="2687" uniqueCount="688">
  <si>
    <t xml:space="preserve">Please refer to notes pertaining to "Status-quo costs: Provincial"  </t>
  </si>
  <si>
    <t>The above calculations assume that all HCRW generated in Gauteng is containerised and disposed at the same cost per container as HCRW emanating from provincial hospitals, and removed by contractors at the estimated average current rate, as listed in the assumptions above.</t>
  </si>
  <si>
    <t>Scenario 1</t>
  </si>
  <si>
    <t>Scenario 2</t>
  </si>
  <si>
    <t>Scenario 3</t>
  </si>
  <si>
    <t>Capital cost</t>
  </si>
  <si>
    <t>Finance cost</t>
  </si>
  <si>
    <t>Depreciation</t>
  </si>
  <si>
    <t>Cage trolleys</t>
  </si>
  <si>
    <t>240 L wheelie bins</t>
  </si>
  <si>
    <t>TOTAL</t>
  </si>
  <si>
    <t>Monthly costs</t>
  </si>
  <si>
    <t>Labour cost (at HCRW source)</t>
  </si>
  <si>
    <t>Consumable costs</t>
  </si>
  <si>
    <t>Other</t>
  </si>
  <si>
    <t>Diesel</t>
  </si>
  <si>
    <t>Tyres</t>
  </si>
  <si>
    <t>n/a</t>
  </si>
  <si>
    <t>Quantity</t>
  </si>
  <si>
    <t>Unit cost</t>
  </si>
  <si>
    <t>Total cost</t>
  </si>
  <si>
    <t>Disposable boxes 142 L</t>
  </si>
  <si>
    <t>Disposable boxes 50 L</t>
  </si>
  <si>
    <t>20 L plastic buckets</t>
  </si>
  <si>
    <t>Model</t>
  </si>
  <si>
    <t>Service</t>
  </si>
  <si>
    <t>Clinics</t>
  </si>
  <si>
    <t>Hospitals</t>
  </si>
  <si>
    <t>Public</t>
  </si>
  <si>
    <t>Private</t>
  </si>
  <si>
    <t>Labour</t>
  </si>
  <si>
    <t>Chemicals</t>
  </si>
  <si>
    <t>Electricity</t>
  </si>
  <si>
    <t>Water</t>
  </si>
  <si>
    <t>A</t>
  </si>
  <si>
    <t>B</t>
  </si>
  <si>
    <t>C</t>
  </si>
  <si>
    <t>COST-COMPARISON OF ALTERNATIVE HCRW CONTAINERISATION AND DISPOSAL SCENARIOS</t>
  </si>
  <si>
    <t>CONTAINERISATION</t>
  </si>
  <si>
    <t>Total monthly containerisation cost</t>
  </si>
  <si>
    <t>Type</t>
  </si>
  <si>
    <t>Daily quantity</t>
  </si>
  <si>
    <t>Monthly quantity</t>
  </si>
  <si>
    <t>142 L box</t>
  </si>
  <si>
    <t>50 L  box</t>
  </si>
  <si>
    <t>20 L buckets</t>
  </si>
  <si>
    <t>240 L bins</t>
  </si>
  <si>
    <t>CONTAINERS OF HCRW GENERATED</t>
  </si>
  <si>
    <t>Dry waste</t>
  </si>
  <si>
    <t>Wet Waste</t>
  </si>
  <si>
    <t>Sharps</t>
  </si>
  <si>
    <t>MASS OF HCRW GENERATED (kgs)</t>
  </si>
  <si>
    <t>HCRW GENERATION DATA: ALL GAUTENG HOSPITALS, CLINICS AND OTHER SOURCES</t>
  </si>
  <si>
    <t>Ownership</t>
  </si>
  <si>
    <t>Monthly HCRW mass (kg)</t>
  </si>
  <si>
    <t>Private, mining &amp; military</t>
  </si>
  <si>
    <t>Total</t>
  </si>
  <si>
    <t>Minor HCRW sources</t>
  </si>
  <si>
    <t>Total (clinics)</t>
  </si>
  <si>
    <t>Total (hospitals)</t>
  </si>
  <si>
    <t>Dry</t>
  </si>
  <si>
    <t>Wet</t>
  </si>
  <si>
    <t>Assumed masses of dry, wet and sharps per month (kg)</t>
  </si>
  <si>
    <t>Grand totals</t>
  </si>
  <si>
    <t>(As taken from Table 3.8 of "feasibility study into the possible regionalisation of HCRW treatment/disposal facilities in Gauteng": DACEL, 2000)</t>
  </si>
  <si>
    <t>Monthly mass</t>
  </si>
  <si>
    <t>(rounded up)</t>
  </si>
  <si>
    <t>(from sheet: "HCRW generation data")</t>
  </si>
  <si>
    <t>ASSUMPTIONS</t>
  </si>
  <si>
    <t>Container</t>
  </si>
  <si>
    <t>50 L box</t>
  </si>
  <si>
    <t>50 L bag</t>
  </si>
  <si>
    <t>85 L bag</t>
  </si>
  <si>
    <t>Cost (incl.VAT)</t>
  </si>
  <si>
    <t>20 L bucket</t>
  </si>
  <si>
    <t>240 L wheelie bin</t>
  </si>
  <si>
    <t>Containers per:</t>
  </si>
  <si>
    <t>Empty mass (kg)</t>
  </si>
  <si>
    <t>HCRW capacity (kg)</t>
  </si>
  <si>
    <t>Wet waste</t>
  </si>
  <si>
    <t>%</t>
  </si>
  <si>
    <t>10 L sharps</t>
  </si>
  <si>
    <t>Average round-trip distance</t>
  </si>
  <si>
    <t>DACEL HCRW STUDY</t>
  </si>
  <si>
    <t>Cost Model: Transportation</t>
  </si>
  <si>
    <t>Vehicle Parameters: (all costs include VAT)</t>
  </si>
  <si>
    <t>Designation</t>
  </si>
  <si>
    <t>D</t>
  </si>
  <si>
    <t>E</t>
  </si>
  <si>
    <t>Vehicle Make</t>
  </si>
  <si>
    <t>Toyota</t>
  </si>
  <si>
    <t>Dyna 4-093</t>
  </si>
  <si>
    <t>Dyna 7-124</t>
  </si>
  <si>
    <t>Dyna 7-125</t>
  </si>
  <si>
    <t>Hino 10-166</t>
  </si>
  <si>
    <t>Hino 9-136</t>
  </si>
  <si>
    <t>Fuel</t>
  </si>
  <si>
    <t>Urban cycle fuel consumption: lit/100 km</t>
  </si>
  <si>
    <t>Body</t>
  </si>
  <si>
    <t>Custom</t>
  </si>
  <si>
    <t>Mechanical (lifting) tailgate</t>
  </si>
  <si>
    <t>yes</t>
  </si>
  <si>
    <t>Load-space (int.) dimensions (l,w,h) (m)</t>
  </si>
  <si>
    <t>3.1/2.0/1.70</t>
  </si>
  <si>
    <t>5.8/2.4/2.1</t>
  </si>
  <si>
    <t>4.5/2.3/1.75</t>
  </si>
  <si>
    <t>6.4/2.4/2.1</t>
  </si>
  <si>
    <t>5.3/2.4/2.1</t>
  </si>
  <si>
    <t>Body capacity: Volumetric (cub. m)</t>
  </si>
  <si>
    <t>Max. load mass (kgs)</t>
  </si>
  <si>
    <t>Max. capacity: Std. 142 lit. waste containers:</t>
  </si>
  <si>
    <t>number</t>
  </si>
  <si>
    <t>HCRW mass (kg)</t>
  </si>
  <si>
    <t>Costs</t>
  </si>
  <si>
    <t>Unit cost (incl. purpose-built body)</t>
  </si>
  <si>
    <t>Less:</t>
  </si>
  <si>
    <t>Salvage value</t>
  </si>
  <si>
    <t>Cost for depreciation purposes</t>
  </si>
  <si>
    <t>Annual fixed costs:</t>
  </si>
  <si>
    <t>Interest on capital @</t>
  </si>
  <si>
    <t>Insurance @</t>
  </si>
  <si>
    <t>License</t>
  </si>
  <si>
    <t>Total Annual Costs:</t>
  </si>
  <si>
    <t>Per Kilometer Costs:</t>
  </si>
  <si>
    <t xml:space="preserve">Repairs &amp; Maintenance </t>
  </si>
  <si>
    <t xml:space="preserve">New tyres every </t>
  </si>
  <si>
    <t>Total Per-Kilometer Costs:</t>
  </si>
  <si>
    <t>Per Month</t>
  </si>
  <si>
    <t>Annual</t>
  </si>
  <si>
    <t xml:space="preserve">Driver: </t>
  </si>
  <si>
    <t>Salary</t>
  </si>
  <si>
    <t>Bonus</t>
  </si>
  <si>
    <t>Med. Aid</t>
  </si>
  <si>
    <t>Pension</t>
  </si>
  <si>
    <t>UIF</t>
  </si>
  <si>
    <t>Supervision</t>
  </si>
  <si>
    <t xml:space="preserve">Helper: </t>
  </si>
  <si>
    <t>Additional Assumptions</t>
  </si>
  <si>
    <t>% of max. capacity</t>
  </si>
  <si>
    <t>Containers per average load:</t>
  </si>
  <si>
    <t>142 L boxes</t>
  </si>
  <si>
    <t>240 L wheelies</t>
  </si>
  <si>
    <t>Load + unload time per trip (hrs):</t>
  </si>
  <si>
    <t>Assumed average round trip:</t>
  </si>
  <si>
    <t>km</t>
  </si>
  <si>
    <t xml:space="preserve">Assumed average road speed: </t>
  </si>
  <si>
    <t>km/hr</t>
  </si>
  <si>
    <t xml:space="preserve">Trips/day: </t>
  </si>
  <si>
    <t xml:space="preserve">Total kms travelled/year: </t>
  </si>
  <si>
    <t xml:space="preserve">Total km cost/year: </t>
  </si>
  <si>
    <t xml:space="preserve">Estimated total cost/year: </t>
  </si>
  <si>
    <t xml:space="preserve">Estimated no. of containers transported/year: </t>
  </si>
  <si>
    <t xml:space="preserve">Estimated total transport cost: R /container: </t>
  </si>
  <si>
    <t>Total transportation cost</t>
  </si>
  <si>
    <t>10 L Sharps containers</t>
  </si>
  <si>
    <t>kgs HCRW/day</t>
  </si>
  <si>
    <t>Autoclave</t>
  </si>
  <si>
    <t>Microwave</t>
  </si>
  <si>
    <t>Incinerator</t>
  </si>
  <si>
    <t>TREATMENT</t>
  </si>
  <si>
    <t>Treatment scenario:</t>
  </si>
  <si>
    <t>Number of treatment facilities</t>
  </si>
  <si>
    <t xml:space="preserve">TOTAL MONTHLY SCENARIO COSTS (INCLUDING TREATMENT)  </t>
  </si>
  <si>
    <t>Incineration</t>
  </si>
  <si>
    <t>"Disposable Containers"</t>
  </si>
  <si>
    <t>"Re-usable Containers (240 L)"</t>
  </si>
  <si>
    <t>TREATMENT SCENARIO COSTS</t>
  </si>
  <si>
    <t>Treatment cost per kg</t>
  </si>
  <si>
    <t>Total monthly treatment cost</t>
  </si>
  <si>
    <t>Total monthly cost</t>
  </si>
  <si>
    <t>Number of bins processed per day</t>
  </si>
  <si>
    <t>240 L</t>
  </si>
  <si>
    <t>Plant capital cost</t>
  </si>
  <si>
    <t>Number</t>
  </si>
  <si>
    <t>Cost</t>
  </si>
  <si>
    <t>Capacity</t>
  </si>
  <si>
    <t>Throughput</t>
  </si>
  <si>
    <t>Monthly running costs</t>
  </si>
  <si>
    <t>Annual running costs</t>
  </si>
  <si>
    <t>R million</t>
  </si>
  <si>
    <t>or</t>
  </si>
  <si>
    <t>Clothing</t>
  </si>
  <si>
    <r>
      <t>ALL</t>
    </r>
    <r>
      <rPr>
        <b/>
        <sz val="18"/>
        <color indexed="10"/>
        <rFont val="Arial"/>
        <family val="2"/>
      </rPr>
      <t xml:space="preserve"> GAUTENG HEALTH CARE FACILITIES</t>
    </r>
  </si>
  <si>
    <t>Profit margin</t>
  </si>
  <si>
    <t>Price/kg treated</t>
  </si>
  <si>
    <t>CAPACITIES &amp; THROUGHPUTS RELATING TO ALL GAUTENG HCRW</t>
  </si>
  <si>
    <t>CAPACITIES &amp; THROUGHPUTS RELATING TO GAUTENG PROVINCIAL HOSPITAL &amp; CLINIC HCRW ONLY</t>
  </si>
  <si>
    <t>Ann. running cost</t>
  </si>
  <si>
    <t>Price per container</t>
  </si>
  <si>
    <r>
      <t xml:space="preserve">PROVINCIAL HEALTH CARE FACILITIES </t>
    </r>
    <r>
      <rPr>
        <b/>
        <sz val="20"/>
        <color indexed="10"/>
        <rFont val="Arial"/>
        <family val="2"/>
      </rPr>
      <t>ONLY</t>
    </r>
  </si>
  <si>
    <t>Average capacity of treatment facility/facilities facility (tons HCRW /year)</t>
  </si>
  <si>
    <t>Design capacity of treatment facility/facilities (tons /year)</t>
  </si>
  <si>
    <t>tons/year</t>
  </si>
  <si>
    <t>"Status-quo"</t>
  </si>
  <si>
    <t>ESTIMATED MONTHLY COSTS (INCLUDING INTEREST &amp; DEPRECIATION)</t>
  </si>
  <si>
    <t>Estimated total monthly notional cost</t>
  </si>
  <si>
    <t>ESTIMATED COST OF STATUS-QUO HCRW CONTAINERISATION AND DISPOSAL</t>
  </si>
  <si>
    <t xml:space="preserve">Waste workers (hospitals only): one per  </t>
  </si>
  <si>
    <t>"Status-Quo"</t>
  </si>
  <si>
    <t>CONTAINERISATION &amp; DISPOSAL</t>
  </si>
  <si>
    <t>Container + disposal cost:</t>
  </si>
  <si>
    <t>Estimated Monthly costs</t>
  </si>
  <si>
    <t>Total estimated monthly containerisation &amp; disposal cost</t>
  </si>
  <si>
    <t>Estimated average current price (incl.VAT)</t>
  </si>
  <si>
    <t xml:space="preserve"> </t>
  </si>
  <si>
    <t>Notes:</t>
  </si>
  <si>
    <t>Crew Costs (per shift):</t>
  </si>
  <si>
    <t>Unit costs for various average round-trip distances and shifts/ day</t>
  </si>
  <si>
    <t xml:space="preserve">Number of 8-hour shifts/day: </t>
  </si>
  <si>
    <t>Total Crew Cost (per crew per shift):</t>
  </si>
  <si>
    <t>240 L w/b</t>
  </si>
  <si>
    <t>kg</t>
  </si>
  <si>
    <t>gross load mass</t>
  </si>
  <si>
    <t>% of permissible load mass</t>
  </si>
  <si>
    <t>(minima denoted in serise)</t>
  </si>
  <si>
    <t xml:space="preserve"> CONTAINERISATION</t>
  </si>
  <si>
    <t xml:space="preserve"> TRANSPORTATION</t>
  </si>
  <si>
    <t xml:space="preserve"> TREATMENT</t>
  </si>
  <si>
    <t>142 L boxes/day</t>
  </si>
  <si>
    <t>Fixed</t>
  </si>
  <si>
    <t>Per unit</t>
  </si>
  <si>
    <t>Need 2 helpers, therefore</t>
  </si>
  <si>
    <t>Number of shifts/day =</t>
  </si>
  <si>
    <t>Wheelie-bin trucks have :</t>
  </si>
  <si>
    <t>floor(s)</t>
  </si>
  <si>
    <t>No. of levels in truck =</t>
  </si>
  <si>
    <r>
      <t xml:space="preserve"> ALL</t>
    </r>
    <r>
      <rPr>
        <b/>
        <sz val="12"/>
        <color indexed="10"/>
        <rFont val="Arial"/>
        <family val="2"/>
      </rPr>
      <t xml:space="preserve"> GAUTENG HEALTH CARE FACILITIES </t>
    </r>
  </si>
  <si>
    <r>
      <t xml:space="preserve">PROVINCIAL FACILITIES </t>
    </r>
    <r>
      <rPr>
        <b/>
        <sz val="16"/>
        <color indexed="10"/>
        <rFont val="Arial"/>
        <family val="2"/>
      </rPr>
      <t>ONLY</t>
    </r>
  </si>
  <si>
    <t xml:space="preserve">average gross bin mass = </t>
  </si>
  <si>
    <t>(Set in "All Facilities" worksheet)</t>
  </si>
  <si>
    <t>Factor =</t>
  </si>
  <si>
    <t>Depreciation over (years):</t>
  </si>
  <si>
    <t>(set above)</t>
  </si>
  <si>
    <t>Additional annual cost i.r.o. second floor in truck (if applicable-see below):</t>
  </si>
  <si>
    <t xml:space="preserve">  Time (mins.) for each loading + unloading cycle:</t>
  </si>
  <si>
    <t>Per-unit time penalty for multiple floors:</t>
  </si>
  <si>
    <t xml:space="preserve">     Estimated Price:            Rand / container at                        markup on cost of:</t>
  </si>
  <si>
    <t xml:space="preserve">    Estimated Price:            Rand / container at markup on cost of:</t>
  </si>
  <si>
    <t>No. of trucks</t>
  </si>
  <si>
    <t>Minima</t>
  </si>
  <si>
    <t>Annual cost of best option: (see below)</t>
  </si>
  <si>
    <t>As adjusted by:</t>
  </si>
  <si>
    <t>(See sheet "All Facilities")</t>
  </si>
  <si>
    <t>(see sheet: Scenario Costs All Facilities)</t>
  </si>
  <si>
    <t xml:space="preserve">Fuel: diesel price per litre of  </t>
  </si>
  <si>
    <t>Diesel cost per litre</t>
  </si>
  <si>
    <t xml:space="preserve">Monthly HCRW amounts adjusted by  </t>
  </si>
  <si>
    <t xml:space="preserve"> in relation to 2000 estimates</t>
  </si>
  <si>
    <t>Max. capacity: 240 L wheelie bins (per floor/layer) :</t>
  </si>
  <si>
    <t xml:space="preserve">Ave. annual depreciation over time period:(yrs) </t>
  </si>
  <si>
    <t>Annual finance cost: percent per annum</t>
  </si>
  <si>
    <t>Rate =</t>
  </si>
  <si>
    <t>(Rate as set above)</t>
  </si>
  <si>
    <t xml:space="preserve">Annual finance cost assumed : </t>
  </si>
  <si>
    <t xml:space="preserve">Finance cost @ </t>
  </si>
  <si>
    <t>Finance cost @</t>
  </si>
  <si>
    <t>Depreciation over (years)</t>
  </si>
  <si>
    <t>Repairs &amp; maintenance</t>
  </si>
  <si>
    <t>Number of facilities</t>
  </si>
  <si>
    <t>Profit mark-up</t>
  </si>
  <si>
    <t>Monthly total including profit</t>
  </si>
  <si>
    <t>Average price</t>
  </si>
  <si>
    <r>
      <t xml:space="preserve">The above assumes that ALL waste is removed by contractors, and none is treated on-site; In the August 2000 DACEL study, it was estimated that 272,700 kg/month was being incinerated on-site at Gauteng provincial hospitals, at an average (estimated) cost of R 1.90 per kg. (This cost was estimated very conservatively, for e.g. (i) the date when each plant was built was taken into account, and an original cost price was estimated for depreciation purposes; (ii) no interest charges were included, and no property or development costs.) Note that this figure </t>
    </r>
    <r>
      <rPr>
        <b/>
        <sz val="10"/>
        <rFont val="Arial"/>
        <family val="2"/>
      </rPr>
      <t>does not include the cost of HCRW containers</t>
    </r>
    <r>
      <rPr>
        <sz val="10"/>
        <rFont val="Arial"/>
        <family val="0"/>
      </rPr>
      <t xml:space="preserve"> themselves - only the destruction cost. </t>
    </r>
  </si>
  <si>
    <t xml:space="preserve">If one assumes that on-site destruction has dropped to say 150,000 kg/month, the total cost, at a rate of R 2.00 per kg (R 1.90 + 5%) amounts to R 300,000. To this must be added the cost of containers: on a pro-rata basis, and using the same split of 142 L boxes/50 L boxes/10 L sharps containers, this cost comes to R 225,000 per month. (This assumes that boxes are used; if not, and (say) 85 L plastic bags are used for dry waste and 20 L plastic buckets for wet waste, the cost drops to about R 110,000 per month for containers.) So the all-in cost for waste destroyed on site (incl. cost of containers) would be between R 410,000 and R 525,000 per month.  </t>
  </si>
  <si>
    <t>To this must be added the cost of the HCRW treated off-site: 424,000/574,000 x R 2,100,000 = R 1,550,000. So the total status quo cost, assuming 150,000 kg per month treated on-site, is between R 2,272,000 and R 2,387,000 per month (i.e. 410,000 + 1,550,000 + 312,000 and 525,000 +1,550,000 + 312,000), which is only slightly lower than the R 2,415,000 per month as per the calculations above.</t>
  </si>
  <si>
    <t>(from sheet: "Scenario Costs All Facilities")</t>
  </si>
  <si>
    <t>No. of 'sets' of wheelie bins provided :</t>
  </si>
  <si>
    <t>Truck depreciation period (yrs.)</t>
  </si>
  <si>
    <t>Plant depreciation period (yrs.)</t>
  </si>
  <si>
    <t>With support from</t>
  </si>
  <si>
    <t>SUSTAINABLE HEALTH CARE WASTE MANAGEMENT IN GAUTENG</t>
  </si>
  <si>
    <t>AGRICULTURE, CONSERVATION, ENVIRONMENT AND LAND AFFAIRS</t>
  </si>
  <si>
    <t>Implemented in partnership with</t>
  </si>
  <si>
    <t>Scenario Cost Model</t>
  </si>
  <si>
    <t>APRIL 2002</t>
  </si>
  <si>
    <t>Chief Technical Advisor: Torben Kristiansen M.Sc.</t>
  </si>
  <si>
    <t>johnc@ibex.co.za</t>
  </si>
  <si>
    <t xml:space="preserve">Model developed by John Clements Pr.Eng. MBA </t>
  </si>
  <si>
    <t xml:space="preserve">Treatment cost sheets developed by Dr Dave Baldwin </t>
  </si>
  <si>
    <t>NOTES:</t>
  </si>
  <si>
    <t>daveb@mweb.co.za</t>
  </si>
  <si>
    <t>In general within the Model, the following colour-coding has been used in respect of user-input:</t>
  </si>
  <si>
    <t>Cells where values may be changed (within fixed ranges) by means of an associated 'spinner' button:</t>
  </si>
  <si>
    <t>Cells where values may be entered manually :</t>
  </si>
  <si>
    <t>Cells where text may be entered manually :</t>
  </si>
  <si>
    <t xml:space="preserve">This Model forms part of the "Feasibility Study into Sustainable Health Care Waste Management in Gauteng" </t>
  </si>
  <si>
    <t>undertaken for DACEL by RAMBOLL, with support from DANCED, during 2001-2002.</t>
  </si>
  <si>
    <t xml:space="preserve">The Methodology used in the Model, and the assumptions upon which it based, are described in an Annexure </t>
  </si>
  <si>
    <t>to the Feasibility Study Report entitled: "COST MODEL METHODOLOGY &amp; ASSUMPTIONS". Users are advised</t>
  </si>
  <si>
    <t xml:space="preserve"> to study this document before using the Model.</t>
  </si>
  <si>
    <t xml:space="preserve">While every effort has been made to ensure the accuracy and representativeness of the Model, neither the </t>
  </si>
  <si>
    <t xml:space="preserve">developers, DACEL, DANCED or RAMBOLL make any warranty as to its fitness or accuracy, either for the </t>
  </si>
  <si>
    <t>purpose for which it has been developed or for any other purpose.</t>
  </si>
  <si>
    <t>Sheets are protected, viz. other than the data which may be entered in terms of note 4 above, changes</t>
  </si>
  <si>
    <t xml:space="preserve">may only be made by ''unprotecting' the sheet(s). The password required to effect such unprotection is </t>
  </si>
  <si>
    <t>"dacel" (lower-case, without inverted commas). This sheet ("Introduction") cannot be changed.</t>
  </si>
  <si>
    <t>Capacity/yr =</t>
  </si>
  <si>
    <t>tons</t>
  </si>
  <si>
    <t>Capacity/hr =</t>
  </si>
  <si>
    <t>Days/month  =</t>
  </si>
  <si>
    <t>Op hrs/day</t>
  </si>
  <si>
    <t>Capital Costs</t>
  </si>
  <si>
    <t>Rand</t>
  </si>
  <si>
    <t>Property</t>
  </si>
  <si>
    <t xml:space="preserve">Area, m2 </t>
  </si>
  <si>
    <t>R200/m2</t>
  </si>
  <si>
    <t>Development Costs</t>
  </si>
  <si>
    <t>Earthworks, Roads, etc, m2</t>
  </si>
  <si>
    <t>R120/m2</t>
  </si>
  <si>
    <t>Building, m2</t>
  </si>
  <si>
    <t>Electrical, Switchgear etc.</t>
  </si>
  <si>
    <t>Emergency Equipment</t>
  </si>
  <si>
    <t>Equipment</t>
  </si>
  <si>
    <t>Scrubber (dry)</t>
  </si>
  <si>
    <t>(incl. In above)</t>
  </si>
  <si>
    <t>Monitoring Equipment</t>
  </si>
  <si>
    <t>Consultancy Fees (EIA, etc.)</t>
  </si>
  <si>
    <t>Sundry Equipment</t>
  </si>
  <si>
    <t>Total Capital costs</t>
  </si>
  <si>
    <t>Per Annum</t>
  </si>
  <si>
    <t>Unit costs</t>
  </si>
  <si>
    <t>1GJ=63m3</t>
  </si>
  <si>
    <t>Incinerator/</t>
  </si>
  <si>
    <t>Gas, m3/hr</t>
  </si>
  <si>
    <t>/GJ</t>
  </si>
  <si>
    <t>Gas Cleaning</t>
  </si>
  <si>
    <t>Electricity, kw</t>
  </si>
  <si>
    <t>/kwh</t>
  </si>
  <si>
    <t>Water, kl/day</t>
  </si>
  <si>
    <t>/kl</t>
  </si>
  <si>
    <t>Maintenance</t>
  </si>
  <si>
    <t>Process Chemicals, kg/kg waste</t>
  </si>
  <si>
    <t>/kg lime</t>
  </si>
  <si>
    <t>Electricity, kw,kwhr/day</t>
  </si>
  <si>
    <t>Sundry Equip</t>
  </si>
  <si>
    <t>Disposal</t>
  </si>
  <si>
    <t xml:space="preserve">Bottom  Ash </t>
  </si>
  <si>
    <t>/ton</t>
  </si>
  <si>
    <t>Lifts @ 6 tons ea</t>
  </si>
  <si>
    <t>/lift</t>
  </si>
  <si>
    <t>Ash Treat. 2.5% lime</t>
  </si>
  <si>
    <t>/kg</t>
  </si>
  <si>
    <t>Gas Cleaning Residues: 0.1kg/kg waste</t>
  </si>
  <si>
    <t>Monitoring</t>
  </si>
  <si>
    <t>2/yr</t>
  </si>
  <si>
    <t>Includes 1 x Dioxin Measurement/yr</t>
  </si>
  <si>
    <t>Auditing</t>
  </si>
  <si>
    <t>annual</t>
  </si>
  <si>
    <t>Salaries/wages</t>
  </si>
  <si>
    <t>Sundry Consumables</t>
  </si>
  <si>
    <t>Sub Total</t>
  </si>
  <si>
    <t>Mass/cycle</t>
  </si>
  <si>
    <t>Cycles/24hr</t>
  </si>
  <si>
    <t>Days/month</t>
  </si>
  <si>
    <t>Capacity/hr</t>
  </si>
  <si>
    <t>Capacity/yr</t>
  </si>
  <si>
    <t>Initial Monitoring</t>
  </si>
  <si>
    <t>Consultancy Fees</t>
  </si>
  <si>
    <t>Steam Generator</t>
  </si>
  <si>
    <t>640x27/24=720 kg/hr (use 900 kg/hr unit)</t>
  </si>
  <si>
    <t>Electricity, kw,Rand</t>
  </si>
  <si>
    <t>Water, l/cycle</t>
  </si>
  <si>
    <t>/litre</t>
  </si>
  <si>
    <t>Steam, kg/cycle (see below for costs)</t>
  </si>
  <si>
    <t>Maintenance, % p.a.</t>
  </si>
  <si>
    <t>Percent of rated capacity</t>
  </si>
  <si>
    <t>Electricity kwh/hr at rated cap.</t>
  </si>
  <si>
    <t>Gas m3/hr at rated cap.</t>
  </si>
  <si>
    <t>Water lit/hr at rated cap.</t>
  </si>
  <si>
    <t>Disposal of residues</t>
  </si>
  <si>
    <t>Lifts @ 6ton ea</t>
  </si>
  <si>
    <t>Disposal of Pathological &amp; Chemical Waste</t>
  </si>
  <si>
    <t xml:space="preserve">Waste% </t>
  </si>
  <si>
    <t>monthly</t>
  </si>
  <si>
    <t>R500.00/mth</t>
  </si>
  <si>
    <t>Op. hrs/day</t>
  </si>
  <si>
    <t>/kw-h</t>
  </si>
  <si>
    <t>Water, l/h</t>
  </si>
  <si>
    <t>Maintenance, % p.a</t>
  </si>
  <si>
    <t>Lifts @ 6 tons ea.</t>
  </si>
  <si>
    <t>1. Incineration</t>
  </si>
  <si>
    <t>R millions</t>
  </si>
  <si>
    <t>Annual Running Costs (excl. interest &amp; depreciation) R million</t>
  </si>
  <si>
    <t>Throughput:tons/yr</t>
  </si>
  <si>
    <t>Throughput: tons/yr</t>
  </si>
  <si>
    <t>Capital Investment</t>
  </si>
  <si>
    <t>Capacity: tons/yr</t>
  </si>
  <si>
    <t>tok@ramboll.dk</t>
  </si>
  <si>
    <t>www.ramboll.com</t>
  </si>
  <si>
    <t>Load boxes at hospital/clinic</t>
  </si>
  <si>
    <t>Activity</t>
  </si>
  <si>
    <t>Time (s)</t>
  </si>
  <si>
    <t>Sub-total</t>
  </si>
  <si>
    <t>Repeats</t>
  </si>
  <si>
    <t>Total fixed</t>
  </si>
  <si>
    <t>Total variable</t>
  </si>
  <si>
    <t>Number of boxes:</t>
  </si>
  <si>
    <t>No.</t>
  </si>
  <si>
    <t>Description</t>
  </si>
  <si>
    <t>All crew-members</t>
  </si>
  <si>
    <t>Sign-in/out at gate</t>
  </si>
  <si>
    <t>Drive to/from loading area</t>
  </si>
  <si>
    <t>Reverse</t>
  </si>
  <si>
    <t>Open/close rear doors</t>
  </si>
  <si>
    <t>Loosen/secure cargo retaining net</t>
  </si>
  <si>
    <t>Crew-member no. 1</t>
  </si>
  <si>
    <t>Crew-member no. 2</t>
  </si>
  <si>
    <t>Walk 15 m to box storage area @ 1 m/s</t>
  </si>
  <si>
    <t>Lift box, turn around</t>
  </si>
  <si>
    <t>Lift box &amp; turn around</t>
  </si>
  <si>
    <t>Walk 3 m in truck</t>
  </si>
  <si>
    <t>Walk 15 m to truck @ 1 m/s</t>
  </si>
  <si>
    <t>Stack box &amp; turn around</t>
  </si>
  <si>
    <t>Place box in truck &amp; turn around</t>
  </si>
  <si>
    <t>Walk back 3 m in truck</t>
  </si>
  <si>
    <t>Walk 15 m to truck @ 1.5m/s</t>
  </si>
  <si>
    <t>Total:</t>
  </si>
  <si>
    <t>secs</t>
  </si>
  <si>
    <t>mins</t>
  </si>
  <si>
    <t>Unload boxes at treatment facility</t>
  </si>
  <si>
    <t>Number of boxes per crew member:</t>
  </si>
  <si>
    <t>Deposit box at rear of truck &amp; turn around</t>
  </si>
  <si>
    <t>Walk 10 m to deposit box @ 1 m/s</t>
  </si>
  <si>
    <t>Turn around &amp; walk 10 m to truck @ 1 m/s</t>
  </si>
  <si>
    <t>Total fixed time:</t>
  </si>
  <si>
    <t>+ 25 % =</t>
  </si>
  <si>
    <t>Total variable time:</t>
  </si>
  <si>
    <t>Total per-box time:</t>
  </si>
  <si>
    <t>TIME ESTIMATES: LOADING &amp; UNLOADING OF HCRW CONTAINERS</t>
  </si>
  <si>
    <t>1. DISPOSABLE BOXES</t>
  </si>
  <si>
    <t>Loading-dock leveller?  0=no; 1=yes</t>
  </si>
  <si>
    <t>Unload empty bins, load full bins at hospital/clinic</t>
  </si>
  <si>
    <t>Time (secs)</t>
  </si>
  <si>
    <t>Number of bins:</t>
  </si>
  <si>
    <t>Fold down/up tailgate</t>
  </si>
  <si>
    <t>Lower/raise tailgate</t>
  </si>
  <si>
    <t>Raise tailgate (with 1 crew aboard)</t>
  </si>
  <si>
    <t>Walk 15 m to bin storage area @ 1 m/s</t>
  </si>
  <si>
    <t>Walk into truck, take hold of bin &amp; return to tailgate (x 8)</t>
  </si>
  <si>
    <t>Take hold of 2 full bins, reverse &amp; turn around</t>
  </si>
  <si>
    <t>Lower tailgate (with 8 bins)</t>
  </si>
  <si>
    <t>Push bins 15 m to truck</t>
  </si>
  <si>
    <t>Push bins off tailgate</t>
  </si>
  <si>
    <t>Take hold of 2 empty bins, reverse &amp; turn around</t>
  </si>
  <si>
    <t>Push (8) full bins onto tailgate</t>
  </si>
  <si>
    <t>Push 2 empty bins 15 m to bin storage area &amp; park</t>
  </si>
  <si>
    <t>Lift tailgate (with 8 bins loaded)</t>
  </si>
  <si>
    <t>Walk back 15 m to truck</t>
  </si>
  <si>
    <t>Push bin into place inside truck (x 8)</t>
  </si>
  <si>
    <t>Take hold of bin &amp; return to tailgate (x 8)</t>
  </si>
  <si>
    <t>Return to tailgate</t>
  </si>
  <si>
    <t>Lower tailgate</t>
  </si>
  <si>
    <t>Unload full bins, load empty bins at treatment facility</t>
  </si>
  <si>
    <t xml:space="preserve">Fold down/up tailgate </t>
  </si>
  <si>
    <t>Both crew-members</t>
  </si>
  <si>
    <t>Raise tailgate (with 2 crew aboard)</t>
  </si>
  <si>
    <t>Walk into truck, take hold of bin &amp; return to tailgate (x 4 per man)</t>
  </si>
  <si>
    <t xml:space="preserve">Push 2 full bins 10 m to bin storage area </t>
  </si>
  <si>
    <t>Park bins,  &amp; turn around</t>
  </si>
  <si>
    <t>Wash/disinfect inside of truck</t>
  </si>
  <si>
    <t>Walk 10 m back to truck @ 1 m/s</t>
  </si>
  <si>
    <t>Walk 10 m to bin storage area @ 1 m/s</t>
  </si>
  <si>
    <t>Push bins 10 m to truck</t>
  </si>
  <si>
    <t>Wait for completion of washing operation</t>
  </si>
  <si>
    <t>Push (8) empty bins onto tailgate</t>
  </si>
  <si>
    <t>Return to tailgate (x 8)</t>
  </si>
  <si>
    <t xml:space="preserve">Lower tailgate </t>
  </si>
  <si>
    <t>Total per-bin  time:</t>
  </si>
  <si>
    <t>Re-peats</t>
  </si>
  <si>
    <t>Walk into truck, take hold of empty bin &amp; return to tailgate (x2)</t>
  </si>
  <si>
    <t>Take hold of full bin, reverse &amp; turn around</t>
  </si>
  <si>
    <t>Lower tailgate (with 2 bins)</t>
  </si>
  <si>
    <t>Push bin 15 m to truck</t>
  </si>
  <si>
    <t>Take hold of empty bin, reverse &amp; turn around</t>
  </si>
  <si>
    <t>Push (2) full bins onto tailgate</t>
  </si>
  <si>
    <t>Push empty bin 15 m to bin storage area &amp; park</t>
  </si>
  <si>
    <t>Lift tailgate (with 2 bins loaded)</t>
  </si>
  <si>
    <t>Push full bin into place inside truck (x2)</t>
  </si>
  <si>
    <t>Take hold of empty bin &amp; return to tailgate (x2)</t>
  </si>
  <si>
    <t>Push empty bins off tailgate</t>
  </si>
  <si>
    <t>Push bin into place inside truck</t>
  </si>
  <si>
    <t>Take hold of empty bins &amp; return to tailgate</t>
  </si>
  <si>
    <t>Push bin into place inside truck (x2)</t>
  </si>
  <si>
    <t>Walk into truck, take hold of full bin &amp; return to tailgate</t>
  </si>
  <si>
    <t xml:space="preserve">Push full bin 10 m to bin storage area </t>
  </si>
  <si>
    <t>Park bin,  &amp; turn around</t>
  </si>
  <si>
    <t>Push bin 10 m to truck</t>
  </si>
  <si>
    <t>Push (2) empty bins onto tailgate</t>
  </si>
  <si>
    <t>Push bins into place inside truck</t>
  </si>
  <si>
    <t>2.  240 LITRE WHEELIE BINS</t>
  </si>
  <si>
    <t>"Relaxation factor"</t>
  </si>
  <si>
    <t>2. Microwave Treatment</t>
  </si>
  <si>
    <t>3. Autoclaving / Steam Sterilisation</t>
  </si>
  <si>
    <t>HCRW TREATMENT COST SUMMARY</t>
  </si>
  <si>
    <t>(As derived from treatment cost models)</t>
  </si>
  <si>
    <t>Treatment Cost Models for Various Technologies - Health Care Risk Waste</t>
  </si>
  <si>
    <t>Capital Investment per ton of annual capacity</t>
  </si>
  <si>
    <t>Running Costs</t>
  </si>
  <si>
    <t>Total  Running Costs</t>
  </si>
  <si>
    <t>TOTAL MONTHLY SCENARIO COSTS (INCLUDING TREATMENT): R million</t>
  </si>
  <si>
    <t>Total monthly cleaning and disinfection cost</t>
  </si>
  <si>
    <t>( Minimum values in each row are highlighted in green )</t>
  </si>
  <si>
    <t>Profit mark-up on cost:</t>
  </si>
  <si>
    <t>Maintenance cost of cage-trolleys, as % of capital cost p.a.</t>
  </si>
  <si>
    <t>Diesel price per litre:</t>
  </si>
  <si>
    <t>Wheelie bin price (incl. VAT):</t>
  </si>
  <si>
    <t>Time-penalty per bin on loading/unloading bins from multiple floors in truck (if appl.):</t>
  </si>
  <si>
    <t>Round-Trip Distances used in Transportation Cost Model</t>
  </si>
  <si>
    <t>1.</t>
  </si>
  <si>
    <t>2.</t>
  </si>
  <si>
    <t>Radius:</t>
  </si>
  <si>
    <t>n</t>
  </si>
  <si>
    <t>RTD as estimated by formula</t>
  </si>
  <si>
    <t>RTD as determined from actual data</t>
  </si>
  <si>
    <t>Radius (km) :</t>
  </si>
  <si>
    <t xml:space="preserve">Fraction of circle: </t>
  </si>
  <si>
    <t>50 L plastic box</t>
  </si>
  <si>
    <t>142 L cardboard box</t>
  </si>
  <si>
    <t>50 L cardboard box</t>
  </si>
  <si>
    <t>"Re-usable Containers (240 L w/bins)"</t>
  </si>
  <si>
    <t>"Re-usable Containers (plastic boxes)"</t>
  </si>
  <si>
    <t>Scenario 4</t>
  </si>
  <si>
    <t>50 L plastic boxes</t>
  </si>
  <si>
    <t>TRANSPORTATION (including return of wheelie bins + plastic boxes)</t>
  </si>
  <si>
    <t>CLEANING AND DISINFECTION OF WHEELIE BINS/PLASTIC BOXES</t>
  </si>
  <si>
    <t>240 L w/bin</t>
  </si>
  <si>
    <t>Total per-container price</t>
  </si>
  <si>
    <t>No. of 'sets' of plastic boxes provided :</t>
  </si>
  <si>
    <t>Trolley for 4 x 240 L w/bins</t>
  </si>
  <si>
    <t xml:space="preserve">Trolleys for 4x 240L w/bins: one per </t>
  </si>
  <si>
    <t>240 L bins/day</t>
  </si>
  <si>
    <t>Depreciation of equipment (other than re-usable containers): straight line over (number of years) :</t>
  </si>
  <si>
    <t>Maintenance of equipment (other than re-usable containers) @ % p.a.:</t>
  </si>
  <si>
    <t>Maintenance cost of trolleys, bag-holders p.a.</t>
  </si>
  <si>
    <t>Equipment (other than re-usable containers) depreciated over (years) :</t>
  </si>
  <si>
    <t>Re-usable containers depreciated over (usage cycles) :</t>
  </si>
  <si>
    <t>Depreciation of re-usable containers based on estimated life (usage cycles) :</t>
  </si>
  <si>
    <t>boxes/day</t>
  </si>
  <si>
    <t>Pallet-trucks for above:one per</t>
  </si>
  <si>
    <t>Pallets for cardboard/plastic boxes: TWO per</t>
  </si>
  <si>
    <t>kg/litre</t>
  </si>
  <si>
    <t>waste density in w/bins =</t>
  </si>
  <si>
    <t>Unload empty boxes, load full boxes at hospital/clinic</t>
  </si>
  <si>
    <t>Push pallet truck + pallet off tailgate</t>
  </si>
  <si>
    <t>Push pallet truck + pallet 15m to storage area</t>
  </si>
  <si>
    <t>Drop pallet &amp; lift pallet with full boxes</t>
  </si>
  <si>
    <t>Push pallet truck + pallet 15m to tailgate</t>
  </si>
  <si>
    <t xml:space="preserve">Lift tailgate </t>
  </si>
  <si>
    <t xml:space="preserve">Push pallet into place inside truck </t>
  </si>
  <si>
    <t xml:space="preserve">Return to tailgate </t>
  </si>
  <si>
    <t>Push pallet truck 15m to storage area</t>
  </si>
  <si>
    <t>Walk into truck, take hold of pallet truck, lift pallet &amp; return to tailgate</t>
  </si>
  <si>
    <t>Lower tailgate (with 1 pallet)</t>
  </si>
  <si>
    <t xml:space="preserve">Drop pallet </t>
  </si>
  <si>
    <t>Total per-pallet  time:</t>
  </si>
  <si>
    <t>Total per-box  time:</t>
  </si>
  <si>
    <t>Push pallet truck back onto tailgate</t>
  </si>
  <si>
    <t>Return to truck</t>
  </si>
  <si>
    <t>Lift pallet</t>
  </si>
  <si>
    <t>(12 boxes per pallet)</t>
  </si>
  <si>
    <t>130L box</t>
  </si>
  <si>
    <t>"Re-usable Containers (770 L)"</t>
  </si>
  <si>
    <t>100 L plastic box</t>
  </si>
  <si>
    <t>8 L sharps</t>
  </si>
  <si>
    <t>32L plastic box</t>
  </si>
  <si>
    <t>Waste workers (hospitals only): 240-L W-BIN SYSTEM: one per</t>
  </si>
  <si>
    <t>100 L boxes/day</t>
  </si>
  <si>
    <t>100 L box</t>
  </si>
  <si>
    <t>100 L plastic boxes</t>
  </si>
  <si>
    <t>(kickabout trolley)</t>
  </si>
  <si>
    <t>46 x 54 x 50 mic. PE bag</t>
  </si>
  <si>
    <t>56 x 66 x 60 mic. PE bag</t>
  </si>
  <si>
    <t>(50 L box)</t>
  </si>
  <si>
    <t>75 x 95 x 50 mic. PE bag</t>
  </si>
  <si>
    <t>(100 L box)</t>
  </si>
  <si>
    <t>(stands)</t>
  </si>
  <si>
    <t>(32-L boxes &amp; baskets)</t>
  </si>
  <si>
    <t>75 x 95 x 80 mic. PE bag</t>
  </si>
  <si>
    <t xml:space="preserve">100 x 95 x 50 mic. PE bag </t>
  </si>
  <si>
    <t>Nominal HCRW mass per liner consumed</t>
  </si>
  <si>
    <t>Actual HCRW capacity (kg)</t>
  </si>
  <si>
    <t>F</t>
  </si>
  <si>
    <t>Bag Type:</t>
  </si>
  <si>
    <t>Bags type "A"</t>
  </si>
  <si>
    <t>Bags type "B"</t>
  </si>
  <si>
    <t>Bags type "D"</t>
  </si>
  <si>
    <t>Bags type "C"</t>
  </si>
  <si>
    <t>Bags type "E"</t>
  </si>
  <si>
    <t>Bags type "F"</t>
  </si>
  <si>
    <t>Bags type "B"/day</t>
  </si>
  <si>
    <t>Bags type "D"/day</t>
  </si>
  <si>
    <t>Baskets/Brackets to nursing trolleys</t>
  </si>
  <si>
    <t>Sharps brackets to nursing trolleys</t>
  </si>
  <si>
    <t>Wall-mounted Baskets/Brackets</t>
  </si>
  <si>
    <t>Wall-mounted Sharps Brackets</t>
  </si>
  <si>
    <t>Free-Standing Bag holders</t>
  </si>
  <si>
    <t>All Scenarios: Sharps bracket for Nursing Trolleys: one per</t>
  </si>
  <si>
    <t>sh. container/day</t>
  </si>
  <si>
    <t>All Scenarios: Wall-Mounted Sharps Bracket: one per</t>
  </si>
  <si>
    <t>&lt; not used in calcs.: consumption derived from no. of boxes used</t>
  </si>
  <si>
    <t>'Sets' provided:</t>
  </si>
  <si>
    <t>Scenarios 2-4: Basket/Bracket + bin on nursing trolleys: one per</t>
  </si>
  <si>
    <t>Scenarios 2-4: Wall-mounted Basket/Bracket + bin: one per</t>
  </si>
  <si>
    <t>Scenarios 2 &amp; 3: Free-standing bag-holder: one per</t>
  </si>
  <si>
    <t>Max. capacity: 100 lit. plastic waste containers:</t>
  </si>
  <si>
    <t>Max. capacity: 1.0 x 1.3 x 1.5 m cage trolleys:</t>
  </si>
  <si>
    <t>With 142-L cardboard boxes:</t>
  </si>
  <si>
    <t>Tot. number in truck:</t>
  </si>
  <si>
    <t>Load mass (kg)</t>
  </si>
  <si>
    <t>With 100-L plastic boxes:</t>
  </si>
  <si>
    <t>142-L boxes in c/trolley</t>
  </si>
  <si>
    <t>100-L plastic boxes in c/trolley</t>
  </si>
  <si>
    <t>c/trolleys</t>
  </si>
  <si>
    <t>4. PALLETIZED 100 L PLASTIC BOXES</t>
  </si>
  <si>
    <t>Marked-up cost of best option: (see below)</t>
  </si>
  <si>
    <t>cage trolleys</t>
  </si>
  <si>
    <t>240 L liner 40 mic. for w/b</t>
  </si>
  <si>
    <t>100 L plastic box price (incl. VAT):</t>
  </si>
  <si>
    <t>No. of 'sets' of cage trolleys provided :</t>
  </si>
  <si>
    <r>
      <t xml:space="preserve">PROVINCIAL HEALTH CARE FACILITIES </t>
    </r>
    <r>
      <rPr>
        <b/>
        <u val="single"/>
        <sz val="20"/>
        <color indexed="10"/>
        <rFont val="Arial"/>
        <family val="2"/>
      </rPr>
      <t>ONLY</t>
    </r>
  </si>
  <si>
    <t>&lt; not used in calcs.: consumption derived from no. of w-bins used</t>
  </si>
  <si>
    <t>Variables carried across to cell from another sheet or cell:</t>
  </si>
  <si>
    <t>Waste workers (hospitals only): Cardboard Box System: one per</t>
  </si>
  <si>
    <t>240-L w-bins</t>
  </si>
  <si>
    <t>Re-usable boxes</t>
  </si>
  <si>
    <t>Containerisation</t>
  </si>
  <si>
    <t>Transport</t>
  </si>
  <si>
    <t>Treatment</t>
  </si>
  <si>
    <t>Totals</t>
  </si>
  <si>
    <t>MISCELLANEOUS GRAPHS</t>
  </si>
  <si>
    <t>MONTHLY PROVINCIAL HCRW ONLY</t>
  </si>
  <si>
    <t>Note: The 2000 Study monthly HCRW mass has been adjusted by:</t>
  </si>
  <si>
    <t xml:space="preserve">Note: The 2000 Study monthly HCRW mass has been adjusted by: </t>
  </si>
  <si>
    <r>
      <t xml:space="preserve">Note: Labour cost (within institutions) </t>
    </r>
    <r>
      <rPr>
        <b/>
        <sz val="8"/>
        <rFont val="Arial"/>
        <family val="2"/>
      </rPr>
      <t>included</t>
    </r>
    <r>
      <rPr>
        <sz val="8"/>
        <rFont val="Arial"/>
        <family val="2"/>
      </rPr>
      <t xml:space="preserve"> in the containerisation costs above are:</t>
    </r>
  </si>
  <si>
    <t>Cleaning and disinfection</t>
  </si>
  <si>
    <t>Scenario</t>
  </si>
  <si>
    <t>Cost element:</t>
  </si>
  <si>
    <t>Status-Quo (estimated)</t>
  </si>
  <si>
    <t>770-L w-bins</t>
  </si>
  <si>
    <t>770 L w/b</t>
  </si>
  <si>
    <t>"Re-usable Containers (770 L w/bins)"</t>
  </si>
  <si>
    <t>770 L wheelie bin</t>
  </si>
  <si>
    <t>Max. capacity: 770 L wheelie bins (per floor/layer) :</t>
  </si>
  <si>
    <t>770 L wheelies</t>
  </si>
  <si>
    <t>770 L bins</t>
  </si>
  <si>
    <t>3. 660 or 770 LITRE WHEELIE BINS</t>
  </si>
  <si>
    <t>Max. capacity: 660 L wheelie bins (per floor/layer) :</t>
  </si>
  <si>
    <t>660 L w/b</t>
  </si>
  <si>
    <t>Scenario 3 a</t>
  </si>
  <si>
    <t>"Re-usable Containers (660 L w/bins)"</t>
  </si>
  <si>
    <t>660 L bins</t>
  </si>
  <si>
    <t>660 or 770 L wheelie bins</t>
  </si>
  <si>
    <t>660 L wheelies</t>
  </si>
  <si>
    <t>Scenario 3a</t>
  </si>
  <si>
    <t>Waste workers (hospitals only): 660-L W-BIN SYSTEM: one per</t>
  </si>
  <si>
    <t>Waste workers (hospitals only): 770-L W-BIN SYSTEM: one per</t>
  </si>
  <si>
    <t>660 or 770 L w/bin</t>
  </si>
  <si>
    <t>660 or 770 L</t>
  </si>
  <si>
    <t>"Re-usable Containers (660 L)"</t>
  </si>
  <si>
    <t>Scenario 4a</t>
  </si>
  <si>
    <t>"Re-usable Containers (plastic boxes) + cage-trolleys"</t>
  </si>
  <si>
    <t>see below</t>
  </si>
  <si>
    <t>see above</t>
  </si>
  <si>
    <t xml:space="preserve">Cage-trolley (scenario 1): one per </t>
  </si>
  <si>
    <t xml:space="preserve">Cage-trolley (scenario 4): one per </t>
  </si>
  <si>
    <t xml:space="preserve">Cage-trolley (scenario 4a): one per </t>
  </si>
  <si>
    <t>4a.  100 L PLASTIC BOXES (loaded/unloaded individually)</t>
  </si>
  <si>
    <t>Unload clean boxes + Load full boxes at hospital/clinic</t>
  </si>
  <si>
    <t>Walk 3 m into truck</t>
  </si>
  <si>
    <t>Lift 4 clean boxes + lids &amp; turn around</t>
  </si>
  <si>
    <t>Walk 3 m to rear of truck</t>
  </si>
  <si>
    <t>Deposit boxes &amp; turn around</t>
  </si>
  <si>
    <t>Lift 4 clean boxes + lids from rear of truck &amp; turn around</t>
  </si>
  <si>
    <t>Walk 15 m to clean box starage area</t>
  </si>
  <si>
    <t>Walk 15 m back to truck</t>
  </si>
  <si>
    <t>Unload full boxes &amp; load clean boxes at treatment facility</t>
  </si>
  <si>
    <t>Walk 15m to clean box area</t>
  </si>
  <si>
    <t>Lift 4 boxes &amp; turn around</t>
  </si>
  <si>
    <t>Walk back 15 to truck</t>
  </si>
  <si>
    <t>Lift 4 clean boxes &amp; turn around</t>
  </si>
  <si>
    <t>Waste workers (hospitals only): Re-usable Boxes + cage-trolleys: one per</t>
  </si>
  <si>
    <t>Waste workers (hospitals only): Re-usable Boxes only: one per</t>
  </si>
  <si>
    <t>100 L</t>
  </si>
  <si>
    <t>"Disposable Containers + cage-trolleys"</t>
  </si>
  <si>
    <t>(Cage-trolleys WITHIN hospitals ONLY)</t>
  </si>
  <si>
    <t>660-L w-bins</t>
  </si>
  <si>
    <t>Re-usable boxes + c-t's</t>
  </si>
  <si>
    <t>Cardboard Boxes + c-t's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</si>
</sst>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 &quot;#,##0;\-&quot;R &quot;#,##0"/>
    <numFmt numFmtId="173" formatCode="&quot;R &quot;#,##0;[Red]\-&quot;R &quot;#,##0"/>
    <numFmt numFmtId="174" formatCode="&quot;R &quot;#,##0.00;\-&quot;R &quot;#,##0.00"/>
    <numFmt numFmtId="175" formatCode="&quot;R &quot;#,##0.00;[Red]\-&quot;R &quot;#,##0.00"/>
    <numFmt numFmtId="176" formatCode="_-&quot;R &quot;* #,##0_-;\-&quot;R &quot;* #,##0_-;_-&quot;R &quot;* &quot;-&quot;_-;_-@_-"/>
    <numFmt numFmtId="177" formatCode="_-&quot;R &quot;* #,##0.00_-;\-&quot;R &quot;* #,##0.00_-;_-&quot;R &quot;* &quot;-&quot;??_-;_-@_-"/>
    <numFmt numFmtId="178" formatCode="&quot;R &quot;#,##0.00"/>
    <numFmt numFmtId="179" formatCode="&quot;R &quot;#,##0"/>
    <numFmt numFmtId="180" formatCode="0.0%"/>
    <numFmt numFmtId="181" formatCode="0.0000"/>
    <numFmt numFmtId="182" formatCode="0.000"/>
    <numFmt numFmtId="183" formatCode="0.0"/>
    <numFmt numFmtId="184" formatCode="#,##0.0"/>
    <numFmt numFmtId="185" formatCode="&quot;R &quot;#,##0.0"/>
    <numFmt numFmtId="186" formatCode="00000"/>
    <numFmt numFmtId="187" formatCode="&quot;R&quot;\ #,##0"/>
    <numFmt numFmtId="188" formatCode="&quot;R&quot;\ #,##0.00"/>
    <numFmt numFmtId="189" formatCode="&quot;Yes&quot;;&quot;Yes&quot;;&quot;No&quot;"/>
    <numFmt numFmtId="190" formatCode="&quot;True&quot;;&quot;True&quot;;&quot;False&quot;"/>
    <numFmt numFmtId="191" formatCode="&quot;On&quot;;&quot;On&quot;;&quot;Off&quot;"/>
    <numFmt numFmtId="192" formatCode="#,##0_ ;[Red]\-#,##0\ "/>
    <numFmt numFmtId="193" formatCode="0.0000000"/>
    <numFmt numFmtId="194" formatCode="0.000000"/>
    <numFmt numFmtId="195" formatCode="0.00000"/>
    <numFmt numFmtId="196" formatCode="#,##0.00_ ;[Red]\-#,##0.00\ "/>
    <numFmt numFmtId="197" formatCode="&quot;R &quot;#,##0.000"/>
    <numFmt numFmtId="198" formatCode="&quot;R&quot;\ #,##0.0"/>
  </numFmts>
  <fonts count="126">
    <font>
      <sz val="10"/>
      <name val="Arial"/>
      <family val="0"/>
    </font>
    <font>
      <b/>
      <sz val="10"/>
      <name val="Arial"/>
      <family val="2"/>
    </font>
    <font>
      <b/>
      <sz val="12"/>
      <name val="Arial"/>
      <family val="2"/>
    </font>
    <font>
      <b/>
      <sz val="16"/>
      <name val="Arial"/>
      <family val="2"/>
    </font>
    <font>
      <b/>
      <sz val="12"/>
      <color indexed="9"/>
      <name val="Arial"/>
      <family val="2"/>
    </font>
    <font>
      <sz val="8"/>
      <name val="Arial"/>
      <family val="2"/>
    </font>
    <font>
      <sz val="10"/>
      <color indexed="14"/>
      <name val="Arial"/>
      <family val="2"/>
    </font>
    <font>
      <sz val="10"/>
      <color indexed="9"/>
      <name val="Arial"/>
      <family val="2"/>
    </font>
    <font>
      <b/>
      <sz val="11"/>
      <name val="Arial"/>
      <family val="2"/>
    </font>
    <font>
      <i/>
      <sz val="9"/>
      <name val="Arial"/>
      <family val="2"/>
    </font>
    <font>
      <b/>
      <sz val="9"/>
      <name val="Arial"/>
      <family val="2"/>
    </font>
    <font>
      <b/>
      <sz val="12"/>
      <color indexed="14"/>
      <name val="Arial"/>
      <family val="2"/>
    </font>
    <font>
      <b/>
      <sz val="10"/>
      <color indexed="14"/>
      <name val="Arial"/>
      <family val="2"/>
    </font>
    <font>
      <b/>
      <sz val="9"/>
      <color indexed="14"/>
      <name val="Arial"/>
      <family val="2"/>
    </font>
    <font>
      <b/>
      <sz val="14"/>
      <color indexed="14"/>
      <name val="Arial"/>
      <family val="2"/>
    </font>
    <font>
      <b/>
      <sz val="14"/>
      <color indexed="9"/>
      <name val="Arial"/>
      <family val="2"/>
    </font>
    <font>
      <sz val="14"/>
      <color indexed="9"/>
      <name val="Arial"/>
      <family val="2"/>
    </font>
    <font>
      <b/>
      <sz val="10"/>
      <color indexed="9"/>
      <name val="Arial"/>
      <family val="2"/>
    </font>
    <font>
      <b/>
      <sz val="10"/>
      <color indexed="8"/>
      <name val="Arial"/>
      <family val="2"/>
    </font>
    <font>
      <b/>
      <sz val="8"/>
      <name val="Arial"/>
      <family val="0"/>
    </font>
    <font>
      <b/>
      <i/>
      <sz val="10"/>
      <name val="Arial"/>
      <family val="2"/>
    </font>
    <font>
      <b/>
      <sz val="10"/>
      <color indexed="12"/>
      <name val="Arial"/>
      <family val="2"/>
    </font>
    <font>
      <b/>
      <sz val="12"/>
      <color indexed="8"/>
      <name val="Arial"/>
      <family val="2"/>
    </font>
    <font>
      <sz val="10"/>
      <color indexed="8"/>
      <name val="Arial"/>
      <family val="2"/>
    </font>
    <font>
      <sz val="12"/>
      <color indexed="8"/>
      <name val="Arial"/>
      <family val="2"/>
    </font>
    <font>
      <sz val="12"/>
      <name val="Arial"/>
      <family val="2"/>
    </font>
    <font>
      <b/>
      <sz val="10.75"/>
      <name val="Arial"/>
      <family val="0"/>
    </font>
    <font>
      <sz val="11"/>
      <name val="Arial"/>
      <family val="0"/>
    </font>
    <font>
      <b/>
      <sz val="10.5"/>
      <name val="Arial"/>
      <family val="0"/>
    </font>
    <font>
      <sz val="10.5"/>
      <name val="Arial"/>
      <family val="0"/>
    </font>
    <font>
      <b/>
      <sz val="9.25"/>
      <name val="Arial"/>
      <family val="0"/>
    </font>
    <font>
      <sz val="9.25"/>
      <name val="Arial"/>
      <family val="0"/>
    </font>
    <font>
      <b/>
      <sz val="10"/>
      <color indexed="10"/>
      <name val="Arial"/>
      <family val="2"/>
    </font>
    <font>
      <b/>
      <sz val="12"/>
      <color indexed="48"/>
      <name val="Arial"/>
      <family val="2"/>
    </font>
    <font>
      <b/>
      <sz val="20"/>
      <name val="Arial"/>
      <family val="2"/>
    </font>
    <font>
      <b/>
      <sz val="14"/>
      <name val="Arial"/>
      <family val="2"/>
    </font>
    <font>
      <b/>
      <sz val="11"/>
      <color indexed="9"/>
      <name val="Arial"/>
      <family val="2"/>
    </font>
    <font>
      <sz val="9"/>
      <name val="Arial"/>
      <family val="2"/>
    </font>
    <font>
      <sz val="9.5"/>
      <name val="Arial"/>
      <family val="0"/>
    </font>
    <font>
      <b/>
      <sz val="8.75"/>
      <name val="Arial"/>
      <family val="0"/>
    </font>
    <font>
      <b/>
      <sz val="10.25"/>
      <name val="Arial"/>
      <family val="0"/>
    </font>
    <font>
      <b/>
      <sz val="8.5"/>
      <name val="Arial"/>
      <family val="0"/>
    </font>
    <font>
      <sz val="8.5"/>
      <name val="Arial"/>
      <family val="0"/>
    </font>
    <font>
      <b/>
      <sz val="14"/>
      <color indexed="10"/>
      <name val="Arial"/>
      <family val="2"/>
    </font>
    <font>
      <b/>
      <i/>
      <sz val="10"/>
      <color indexed="10"/>
      <name val="Arial"/>
      <family val="2"/>
    </font>
    <font>
      <b/>
      <sz val="18"/>
      <color indexed="10"/>
      <name val="Arial"/>
      <family val="2"/>
    </font>
    <font>
      <b/>
      <sz val="20"/>
      <color indexed="10"/>
      <name val="Arial"/>
      <family val="2"/>
    </font>
    <font>
      <b/>
      <sz val="16"/>
      <color indexed="10"/>
      <name val="Arial"/>
      <family val="2"/>
    </font>
    <font>
      <b/>
      <sz val="9.5"/>
      <name val="Arial"/>
      <family val="0"/>
    </font>
    <font>
      <sz val="10.25"/>
      <name val="Arial"/>
      <family val="0"/>
    </font>
    <font>
      <sz val="7"/>
      <name val="Arial"/>
      <family val="2"/>
    </font>
    <font>
      <b/>
      <sz val="2"/>
      <name val="Arial"/>
      <family val="2"/>
    </font>
    <font>
      <sz val="2.5"/>
      <name val="Arial"/>
      <family val="0"/>
    </font>
    <font>
      <b/>
      <sz val="1.75"/>
      <name val="Arial"/>
      <family val="2"/>
    </font>
    <font>
      <sz val="1.25"/>
      <name val="Arial"/>
      <family val="0"/>
    </font>
    <font>
      <b/>
      <sz val="1.25"/>
      <name val="Arial"/>
      <family val="0"/>
    </font>
    <font>
      <b/>
      <sz val="1.5"/>
      <name val="Arial"/>
      <family val="2"/>
    </font>
    <font>
      <b/>
      <sz val="2.25"/>
      <name val="Arial"/>
      <family val="0"/>
    </font>
    <font>
      <b/>
      <i/>
      <sz val="12"/>
      <name val="Arial"/>
      <family val="2"/>
    </font>
    <font>
      <u val="single"/>
      <sz val="10"/>
      <color indexed="12"/>
      <name val="Arial"/>
      <family val="0"/>
    </font>
    <font>
      <u val="single"/>
      <sz val="10"/>
      <color indexed="36"/>
      <name val="Arial"/>
      <family val="0"/>
    </font>
    <font>
      <b/>
      <sz val="16"/>
      <color indexed="9"/>
      <name val="Arial"/>
      <family val="2"/>
    </font>
    <font>
      <sz val="16"/>
      <color indexed="9"/>
      <name val="Arial"/>
      <family val="2"/>
    </font>
    <font>
      <b/>
      <sz val="12"/>
      <color indexed="10"/>
      <name val="Arial"/>
      <family val="2"/>
    </font>
    <font>
      <b/>
      <sz val="8"/>
      <color indexed="14"/>
      <name val="Arial"/>
      <family val="2"/>
    </font>
    <font>
      <b/>
      <sz val="18"/>
      <name val="Arial"/>
      <family val="2"/>
    </font>
    <font>
      <b/>
      <sz val="14"/>
      <color indexed="48"/>
      <name val="Arial"/>
      <family val="2"/>
    </font>
    <font>
      <b/>
      <sz val="14"/>
      <color indexed="12"/>
      <name val="Arial"/>
      <family val="2"/>
    </font>
    <font>
      <b/>
      <sz val="11"/>
      <color indexed="12"/>
      <name val="Arial"/>
      <family val="2"/>
    </font>
    <font>
      <i/>
      <sz val="10"/>
      <name val="Arial"/>
      <family val="2"/>
    </font>
    <font>
      <b/>
      <sz val="20"/>
      <color indexed="12"/>
      <name val="Arial"/>
      <family val="2"/>
    </font>
    <font>
      <b/>
      <i/>
      <sz val="14"/>
      <color indexed="12"/>
      <name val="Arial"/>
      <family val="2"/>
    </font>
    <font>
      <b/>
      <sz val="24"/>
      <color indexed="9"/>
      <name val="Arial"/>
      <family val="2"/>
    </font>
    <font>
      <sz val="11"/>
      <name val="Times New Roman"/>
      <family val="1"/>
    </font>
    <font>
      <b/>
      <i/>
      <sz val="16"/>
      <name val="Arial"/>
      <family val="2"/>
    </font>
    <font>
      <b/>
      <sz val="36"/>
      <color indexed="8"/>
      <name val="Arial"/>
      <family val="2"/>
    </font>
    <font>
      <b/>
      <sz val="16"/>
      <color indexed="8"/>
      <name val="Arial"/>
      <family val="2"/>
    </font>
    <font>
      <b/>
      <sz val="24"/>
      <name val="Arial"/>
      <family val="2"/>
    </font>
    <font>
      <sz val="10"/>
      <color indexed="12"/>
      <name val="Arial"/>
      <family val="2"/>
    </font>
    <font>
      <b/>
      <sz val="14"/>
      <color indexed="8"/>
      <name val="Arial"/>
      <family val="2"/>
    </font>
    <font>
      <b/>
      <i/>
      <sz val="10"/>
      <color indexed="8"/>
      <name val="Arial"/>
      <family val="2"/>
    </font>
    <font>
      <b/>
      <sz val="18"/>
      <color indexed="8"/>
      <name val="Arial"/>
      <family val="2"/>
    </font>
    <font>
      <sz val="8"/>
      <color indexed="8"/>
      <name val="Arial"/>
      <family val="2"/>
    </font>
    <font>
      <sz val="10"/>
      <color indexed="10"/>
      <name val="Arial"/>
      <family val="2"/>
    </font>
    <font>
      <b/>
      <sz val="24"/>
      <color indexed="8"/>
      <name val="Arial"/>
      <family val="2"/>
    </font>
    <font>
      <b/>
      <u val="single"/>
      <sz val="10"/>
      <color indexed="10"/>
      <name val="Arial"/>
      <family val="2"/>
    </font>
    <font>
      <b/>
      <sz val="22"/>
      <name val="Arial"/>
      <family val="2"/>
    </font>
    <font>
      <sz val="16.5"/>
      <name val="Arial"/>
      <family val="0"/>
    </font>
    <font>
      <b/>
      <vertAlign val="superscript"/>
      <sz val="10.5"/>
      <name val="Arial"/>
      <family val="2"/>
    </font>
    <font>
      <sz val="17"/>
      <name val="Arial"/>
      <family val="0"/>
    </font>
    <font>
      <b/>
      <sz val="19"/>
      <name val="Arial"/>
      <family val="2"/>
    </font>
    <font>
      <b/>
      <sz val="19.75"/>
      <name val="Arial"/>
      <family val="0"/>
    </font>
    <font>
      <sz val="22.5"/>
      <name val="Arial"/>
      <family val="0"/>
    </font>
    <font>
      <b/>
      <vertAlign val="superscript"/>
      <sz val="8.5"/>
      <name val="Arial"/>
      <family val="2"/>
    </font>
    <font>
      <sz val="21.25"/>
      <name val="Arial"/>
      <family val="0"/>
    </font>
    <font>
      <b/>
      <vertAlign val="superscript"/>
      <sz val="10.75"/>
      <name val="Arial"/>
      <family val="2"/>
    </font>
    <font>
      <sz val="22.25"/>
      <name val="Arial"/>
      <family val="0"/>
    </font>
    <font>
      <b/>
      <sz val="8"/>
      <color indexed="52"/>
      <name val="Arial"/>
      <family val="2"/>
    </font>
    <font>
      <b/>
      <i/>
      <sz val="10"/>
      <color indexed="14"/>
      <name val="Arial"/>
      <family val="2"/>
    </font>
    <font>
      <sz val="14"/>
      <name val="Arial"/>
      <family val="2"/>
    </font>
    <font>
      <sz val="14"/>
      <color indexed="8"/>
      <name val="Arial"/>
      <family val="2"/>
    </font>
    <font>
      <b/>
      <sz val="12"/>
      <color indexed="17"/>
      <name val="Arial"/>
      <family val="2"/>
    </font>
    <font>
      <u val="single"/>
      <sz val="10"/>
      <name val="Arial"/>
      <family val="2"/>
    </font>
    <font>
      <sz val="8.75"/>
      <name val="Arial"/>
      <family val="0"/>
    </font>
    <font>
      <b/>
      <sz val="15"/>
      <name val="Arial"/>
      <family val="2"/>
    </font>
    <font>
      <b/>
      <sz val="11"/>
      <color indexed="14"/>
      <name val="Arial"/>
      <family val="2"/>
    </font>
    <font>
      <b/>
      <u val="single"/>
      <sz val="20"/>
      <color indexed="10"/>
      <name val="Arial"/>
      <family val="2"/>
    </font>
    <font>
      <b/>
      <sz val="11.5"/>
      <name val="Arial"/>
      <family val="0"/>
    </font>
    <font>
      <b/>
      <sz val="14.75"/>
      <name val="Arial"/>
      <family val="0"/>
    </font>
    <font>
      <b/>
      <sz val="18.5"/>
      <name val="Arial"/>
      <family val="2"/>
    </font>
    <font>
      <sz val="14.75"/>
      <name val="Arial"/>
      <family val="0"/>
    </font>
    <font>
      <b/>
      <sz val="17.75"/>
      <name val="Arial"/>
      <family val="2"/>
    </font>
    <font>
      <sz val="15.75"/>
      <name val="Arial"/>
      <family val="0"/>
    </font>
    <font>
      <b/>
      <sz val="15.75"/>
      <name val="Arial"/>
      <family val="0"/>
    </font>
    <font>
      <b/>
      <u val="single"/>
      <sz val="17.75"/>
      <name val="Arial"/>
      <family val="2"/>
    </font>
    <font>
      <b/>
      <i/>
      <sz val="9"/>
      <name val="Arial"/>
      <family val="2"/>
    </font>
    <font>
      <b/>
      <sz val="19.5"/>
      <name val="Arial"/>
      <family val="0"/>
    </font>
    <font>
      <b/>
      <u val="single"/>
      <sz val="19.5"/>
      <name val="Arial"/>
      <family val="2"/>
    </font>
    <font>
      <sz val="18.75"/>
      <name val="Arial"/>
      <family val="0"/>
    </font>
    <font>
      <b/>
      <sz val="18.75"/>
      <name val="Arial"/>
      <family val="0"/>
    </font>
    <font>
      <b/>
      <sz val="16.25"/>
      <name val="Arial"/>
      <family val="0"/>
    </font>
    <font>
      <sz val="17.75"/>
      <name val="Arial"/>
      <family val="0"/>
    </font>
    <font>
      <sz val="9.75"/>
      <name val="Arial"/>
      <family val="0"/>
    </font>
    <font>
      <b/>
      <sz val="9.75"/>
      <name val="Arial"/>
      <family val="2"/>
    </font>
    <font>
      <b/>
      <sz val="8.25"/>
      <name val="Arial"/>
      <family val="0"/>
    </font>
    <font>
      <sz val="8.25"/>
      <name val="Arial"/>
      <family val="0"/>
    </font>
  </fonts>
  <fills count="21">
    <fill>
      <patternFill/>
    </fill>
    <fill>
      <patternFill patternType="gray125"/>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53"/>
        <bgColor indexed="64"/>
      </patternFill>
    </fill>
    <fill>
      <patternFill patternType="solid">
        <fgColor indexed="17"/>
        <bgColor indexed="64"/>
      </patternFill>
    </fill>
    <fill>
      <patternFill patternType="solid">
        <fgColor indexed="43"/>
        <bgColor indexed="64"/>
      </patternFill>
    </fill>
    <fill>
      <patternFill patternType="solid">
        <fgColor indexed="40"/>
        <bgColor indexed="64"/>
      </patternFill>
    </fill>
    <fill>
      <patternFill patternType="solid">
        <fgColor indexed="52"/>
        <bgColor indexed="64"/>
      </patternFill>
    </fill>
    <fill>
      <patternFill patternType="solid">
        <fgColor indexed="51"/>
        <bgColor indexed="64"/>
      </patternFill>
    </fill>
    <fill>
      <patternFill patternType="solid">
        <fgColor indexed="51"/>
        <bgColor indexed="64"/>
      </patternFill>
    </fill>
    <fill>
      <patternFill patternType="solid">
        <fgColor indexed="23"/>
        <bgColor indexed="64"/>
      </patternFill>
    </fill>
  </fills>
  <borders count="162">
    <border>
      <left/>
      <right/>
      <top/>
      <bottom/>
      <diagonal/>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style="thin"/>
      <top style="thin"/>
      <bottom style="thin"/>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thick">
        <color indexed="14"/>
      </right>
      <top>
        <color indexed="63"/>
      </top>
      <bottom style="thick">
        <color indexed="14"/>
      </bottom>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style="thin"/>
      <top style="thin"/>
      <bottom style="thick"/>
    </border>
    <border>
      <left style="thin"/>
      <right style="thick"/>
      <top style="thin"/>
      <bottom style="thick"/>
    </border>
    <border>
      <left style="thin">
        <color indexed="14"/>
      </left>
      <right style="thin">
        <color indexed="14"/>
      </right>
      <top style="thin">
        <color indexed="14"/>
      </top>
      <bottom style="thin">
        <color indexed="14"/>
      </bottom>
    </border>
    <border>
      <left style="thick">
        <color indexed="14"/>
      </left>
      <right>
        <color indexed="63"/>
      </right>
      <top>
        <color indexed="63"/>
      </top>
      <bottom style="thin">
        <color indexed="14"/>
      </bottom>
    </border>
    <border>
      <left>
        <color indexed="63"/>
      </left>
      <right>
        <color indexed="63"/>
      </right>
      <top>
        <color indexed="63"/>
      </top>
      <bottom style="thin">
        <color indexed="14"/>
      </bottom>
    </border>
    <border>
      <left>
        <color indexed="63"/>
      </left>
      <right style="thick">
        <color indexed="14"/>
      </right>
      <top>
        <color indexed="63"/>
      </top>
      <bottom style="thin">
        <color indexed="14"/>
      </bottom>
    </border>
    <border>
      <left>
        <color indexed="63"/>
      </left>
      <right>
        <color indexed="63"/>
      </right>
      <top style="thin">
        <color indexed="14"/>
      </top>
      <bottom>
        <color indexed="63"/>
      </bottom>
    </border>
    <border>
      <left style="thick">
        <color indexed="14"/>
      </left>
      <right style="thin">
        <color indexed="14"/>
      </right>
      <top style="thin">
        <color indexed="14"/>
      </top>
      <bottom style="thin">
        <color indexed="14"/>
      </bottom>
    </border>
    <border>
      <left style="thin">
        <color indexed="14"/>
      </left>
      <right style="thick">
        <color indexed="14"/>
      </right>
      <top style="thin">
        <color indexed="14"/>
      </top>
      <bottom style="thin">
        <color indexed="14"/>
      </bottom>
    </border>
    <border>
      <left>
        <color indexed="63"/>
      </left>
      <right>
        <color indexed="63"/>
      </right>
      <top>
        <color indexed="63"/>
      </top>
      <bottom style="thin">
        <color indexed="63"/>
      </bottom>
    </border>
    <border>
      <left>
        <color indexed="63"/>
      </left>
      <right style="thin"/>
      <top>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right>
        <color indexed="63"/>
      </right>
      <top>
        <color indexed="63"/>
      </top>
      <bottom>
        <color indexed="63"/>
      </bottom>
    </border>
    <border>
      <left style="thin"/>
      <right style="thin">
        <color indexed="8"/>
      </right>
      <top style="thin"/>
      <bottom style="thin"/>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
        <color indexed="14"/>
      </left>
      <right style="thin">
        <color indexed="14"/>
      </right>
      <top style="thin">
        <color indexed="14"/>
      </top>
      <bottom style="thin">
        <color indexed="14"/>
      </bottom>
    </border>
    <border>
      <left style="thin">
        <color indexed="14"/>
      </left>
      <right style="medium">
        <color indexed="14"/>
      </right>
      <top style="thin">
        <color indexed="14"/>
      </top>
      <bottom style="thin">
        <color indexed="14"/>
      </bottom>
    </border>
    <border>
      <left style="medium">
        <color indexed="14"/>
      </left>
      <right>
        <color indexed="63"/>
      </right>
      <top style="thin">
        <color indexed="14"/>
      </top>
      <bottom>
        <color indexed="63"/>
      </bottom>
    </border>
    <border>
      <left>
        <color indexed="63"/>
      </left>
      <right style="medium">
        <color indexed="14"/>
      </right>
      <top style="thin">
        <color indexed="14"/>
      </top>
      <bottom>
        <color indexed="63"/>
      </bottom>
    </border>
    <border>
      <left style="medium">
        <color indexed="14"/>
      </left>
      <right>
        <color indexed="63"/>
      </right>
      <top>
        <color indexed="63"/>
      </top>
      <bottom style="medium">
        <color indexed="14"/>
      </bottom>
    </border>
    <border>
      <left>
        <color indexed="63"/>
      </left>
      <right>
        <color indexed="63"/>
      </right>
      <top>
        <color indexed="63"/>
      </top>
      <bottom style="medium">
        <color indexed="14"/>
      </bottom>
    </border>
    <border>
      <left>
        <color indexed="63"/>
      </left>
      <right style="medium">
        <color indexed="14"/>
      </right>
      <top>
        <color indexed="63"/>
      </top>
      <bottom style="medium">
        <color indexed="14"/>
      </bottom>
    </border>
    <border>
      <left>
        <color indexed="63"/>
      </left>
      <right>
        <color indexed="63"/>
      </right>
      <top style="medium">
        <color indexed="10"/>
      </top>
      <bottom>
        <color indexed="63"/>
      </bottom>
    </border>
    <border>
      <left style="medium"/>
      <right>
        <color indexed="63"/>
      </right>
      <top style="medium">
        <color indexed="10"/>
      </top>
      <bottom>
        <color indexed="63"/>
      </bottom>
    </border>
    <border>
      <left>
        <color indexed="63"/>
      </left>
      <right style="medium"/>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right>
        <color indexed="63"/>
      </right>
      <top>
        <color indexed="63"/>
      </top>
      <bottom style="medium">
        <color indexed="10"/>
      </bottom>
    </border>
    <border>
      <left>
        <color indexed="63"/>
      </left>
      <right style="medium"/>
      <top>
        <color indexed="63"/>
      </top>
      <bottom style="medium">
        <color indexed="10"/>
      </bottom>
    </border>
    <border>
      <left>
        <color indexed="63"/>
      </left>
      <right style="medium">
        <color indexed="10"/>
      </right>
      <top>
        <color indexed="63"/>
      </top>
      <bottom style="medium">
        <color indexed="10"/>
      </bottom>
    </border>
    <border>
      <left style="medium"/>
      <right style="thick">
        <color indexed="9"/>
      </right>
      <top style="thin"/>
      <bottom>
        <color indexed="63"/>
      </bottom>
    </border>
    <border>
      <left style="thick">
        <color indexed="9"/>
      </left>
      <right style="thick">
        <color indexed="9"/>
      </right>
      <top style="thin"/>
      <bottom>
        <color indexed="63"/>
      </bottom>
    </border>
    <border>
      <left style="thick">
        <color indexed="9"/>
      </left>
      <right style="medium"/>
      <top style="thin"/>
      <bottom>
        <color indexed="63"/>
      </bottom>
    </border>
    <border>
      <left>
        <color indexed="63"/>
      </left>
      <right>
        <color indexed="63"/>
      </right>
      <top>
        <color indexed="63"/>
      </top>
      <bottom style="thin"/>
    </border>
    <border>
      <left style="medium">
        <color indexed="12"/>
      </left>
      <right style="medium"/>
      <top style="medium">
        <color indexed="12"/>
      </top>
      <bottom style="medium">
        <color indexed="12"/>
      </bottom>
    </border>
    <border>
      <left style="medium">
        <color indexed="39"/>
      </left>
      <right style="medium"/>
      <top style="medium">
        <color indexed="39"/>
      </top>
      <bottom style="medium">
        <color indexed="39"/>
      </bottom>
    </border>
    <border>
      <left style="thin"/>
      <right style="thin"/>
      <top style="thin"/>
      <bottom>
        <color indexed="63"/>
      </bottom>
    </border>
    <border>
      <left style="thin"/>
      <right style="thin"/>
      <top>
        <color indexed="63"/>
      </top>
      <bottom style="thin"/>
    </border>
    <border>
      <left style="medium">
        <color indexed="12"/>
      </left>
      <right style="medium">
        <color indexed="12"/>
      </right>
      <top style="medium">
        <color indexed="12"/>
      </top>
      <bottom style="medium">
        <color indexed="12"/>
      </bottom>
    </border>
    <border>
      <left style="medium">
        <color indexed="14"/>
      </left>
      <right>
        <color indexed="63"/>
      </right>
      <top style="thin">
        <color indexed="14"/>
      </top>
      <bottom style="thin">
        <color indexed="14"/>
      </bottom>
    </border>
    <border>
      <left>
        <color indexed="63"/>
      </left>
      <right style="thin"/>
      <top style="thin"/>
      <bottom>
        <color indexed="63"/>
      </bottom>
    </border>
    <border>
      <left style="thick">
        <color indexed="9"/>
      </left>
      <right>
        <color indexed="63"/>
      </right>
      <top>
        <color indexed="63"/>
      </top>
      <bottom>
        <color indexed="63"/>
      </bottom>
    </border>
    <border>
      <left>
        <color indexed="63"/>
      </left>
      <right style="thick"/>
      <top>
        <color indexed="63"/>
      </top>
      <bottom>
        <color indexed="63"/>
      </bottom>
    </border>
    <border>
      <left style="thick">
        <color indexed="9"/>
      </left>
      <right>
        <color indexed="63"/>
      </right>
      <top>
        <color indexed="63"/>
      </top>
      <bottom style="thick"/>
    </border>
    <border>
      <left>
        <color indexed="63"/>
      </left>
      <right style="thick"/>
      <top>
        <color indexed="63"/>
      </top>
      <bottom style="thick"/>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top style="thick">
        <color indexed="9"/>
      </top>
      <bottom>
        <color indexed="63"/>
      </bottom>
    </border>
    <border>
      <left style="double"/>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medium"/>
      <top>
        <color indexed="63"/>
      </top>
      <bottom style="thin"/>
    </border>
    <border>
      <left style="thin"/>
      <right style="medium"/>
      <top style="thin"/>
      <bottom style="thin"/>
    </border>
    <border>
      <left style="medium"/>
      <right style="thin"/>
      <top>
        <color indexed="63"/>
      </top>
      <bottom style="medium"/>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style="medium"/>
      <top>
        <color indexed="63"/>
      </top>
      <bottom style="thin"/>
    </border>
    <border>
      <left style="thick"/>
      <right style="thin"/>
      <top style="thin"/>
      <bottom style="thin"/>
    </border>
    <border>
      <left>
        <color indexed="63"/>
      </left>
      <right style="thick">
        <color indexed="9"/>
      </right>
      <top>
        <color indexed="63"/>
      </top>
      <bottom>
        <color indexed="63"/>
      </bottom>
    </border>
    <border>
      <left>
        <color indexed="63"/>
      </left>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color indexed="63"/>
      </top>
      <bottom style="double"/>
    </border>
    <border>
      <left>
        <color indexed="63"/>
      </left>
      <right style="medium"/>
      <top>
        <color indexed="63"/>
      </top>
      <bottom style="double"/>
    </border>
    <border>
      <left>
        <color indexed="63"/>
      </left>
      <right style="double"/>
      <top>
        <color indexed="63"/>
      </top>
      <bottom style="double"/>
    </border>
    <border>
      <left style="double"/>
      <right>
        <color indexed="63"/>
      </right>
      <top style="double"/>
      <bottom>
        <color indexed="63"/>
      </bottom>
    </border>
    <border>
      <left style="medium">
        <color indexed="12"/>
      </left>
      <right style="medium">
        <color indexed="8"/>
      </right>
      <top style="medium">
        <color indexed="12"/>
      </top>
      <bottom style="medium">
        <color indexed="12"/>
      </bottom>
    </border>
    <border>
      <left>
        <color indexed="63"/>
      </left>
      <right>
        <color indexed="63"/>
      </right>
      <top style="thin"/>
      <bottom style="medium"/>
    </border>
    <border>
      <left style="thick"/>
      <right style="thin"/>
      <top style="thick"/>
      <bottom style="thin"/>
    </border>
    <border>
      <left style="thick"/>
      <right style="thin"/>
      <top style="thin"/>
      <bottom style="thick"/>
    </border>
    <border>
      <left>
        <color indexed="63"/>
      </left>
      <right style="thin">
        <color indexed="14"/>
      </right>
      <top style="thin">
        <color indexed="14"/>
      </top>
      <bottom style="thin">
        <color indexed="14"/>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style="thin"/>
      <right style="thin"/>
      <top style="medium">
        <color indexed="12"/>
      </top>
      <bottom>
        <color indexed="63"/>
      </bottom>
    </border>
    <border>
      <left>
        <color indexed="63"/>
      </left>
      <right style="thin"/>
      <top style="medium"/>
      <bottom>
        <color indexed="63"/>
      </bottom>
    </border>
    <border>
      <left style="thin"/>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color indexed="10"/>
      </left>
      <right>
        <color indexed="63"/>
      </right>
      <top style="medium">
        <color indexed="10"/>
      </top>
      <bottom>
        <color indexed="63"/>
      </bottom>
    </border>
    <border>
      <left style="thick">
        <color indexed="9"/>
      </left>
      <right>
        <color indexed="63"/>
      </right>
      <top style="thick">
        <color indexed="9"/>
      </top>
      <bottom style="thick"/>
    </border>
    <border>
      <left>
        <color indexed="63"/>
      </left>
      <right>
        <color indexed="63"/>
      </right>
      <top style="thick">
        <color indexed="9"/>
      </top>
      <bottom style="thick"/>
    </border>
    <border>
      <left>
        <color indexed="63"/>
      </left>
      <right style="thick"/>
      <top style="thick">
        <color indexed="9"/>
      </top>
      <bottom style="thick"/>
    </border>
    <border>
      <left style="medium"/>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top style="medium">
        <color indexed="10"/>
      </top>
      <bottom style="medium">
        <color indexed="10"/>
      </bottom>
    </border>
    <border>
      <left style="thin"/>
      <right style="thin">
        <color indexed="9"/>
      </right>
      <top style="thin"/>
      <bottom>
        <color indexed="63"/>
      </bottom>
    </border>
    <border>
      <left style="thin"/>
      <right style="thin">
        <color indexed="9"/>
      </right>
      <top>
        <color indexed="63"/>
      </top>
      <bottom style="thin"/>
    </border>
    <border>
      <left style="thin">
        <color indexed="9"/>
      </left>
      <right style="thin">
        <color indexed="9"/>
      </right>
      <top style="thin"/>
      <bottom>
        <color indexed="63"/>
      </bottom>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thick">
        <color indexed="14"/>
      </left>
      <right>
        <color indexed="63"/>
      </right>
      <top style="thick">
        <color indexed="14"/>
      </top>
      <bottom>
        <color indexed="63"/>
      </bottom>
    </border>
    <border>
      <left>
        <color indexed="63"/>
      </left>
      <right>
        <color indexed="63"/>
      </right>
      <top style="thick">
        <color indexed="14"/>
      </top>
      <bottom>
        <color indexed="63"/>
      </bottom>
    </border>
    <border>
      <left>
        <color indexed="63"/>
      </left>
      <right style="thick">
        <color indexed="14"/>
      </right>
      <top style="thick">
        <color indexed="14"/>
      </top>
      <bottom>
        <color indexed="63"/>
      </bottom>
    </border>
    <border>
      <left style="thin">
        <color indexed="14"/>
      </left>
      <right>
        <color indexed="63"/>
      </right>
      <top style="thin">
        <color indexed="14"/>
      </top>
      <bottom style="thin">
        <color indexed="14"/>
      </bottom>
    </border>
    <border>
      <left>
        <color indexed="63"/>
      </left>
      <right style="thin"/>
      <top style="thick"/>
      <bottom>
        <color indexed="63"/>
      </bottom>
    </border>
    <border>
      <left style="thick">
        <color indexed="14"/>
      </left>
      <right>
        <color indexed="63"/>
      </right>
      <top style="thin">
        <color indexed="14"/>
      </top>
      <bottom style="thin">
        <color indexed="14"/>
      </bottom>
    </border>
    <border>
      <left>
        <color indexed="63"/>
      </left>
      <right>
        <color indexed="63"/>
      </right>
      <top style="thin">
        <color indexed="14"/>
      </top>
      <bottom style="thin">
        <color indexed="14"/>
      </bottom>
    </border>
    <border>
      <left style="thick">
        <color indexed="9"/>
      </left>
      <right>
        <color indexed="63"/>
      </right>
      <top style="thick">
        <color indexed="9"/>
      </top>
      <bottom style="thick">
        <color indexed="8"/>
      </bottom>
    </border>
    <border>
      <left>
        <color indexed="63"/>
      </left>
      <right>
        <color indexed="63"/>
      </right>
      <top style="thick">
        <color indexed="9"/>
      </top>
      <bottom style="thick">
        <color indexed="8"/>
      </bottom>
    </border>
    <border>
      <left>
        <color indexed="63"/>
      </left>
      <right style="thick">
        <color indexed="8"/>
      </right>
      <top style="thick">
        <color indexed="9"/>
      </top>
      <bottom style="thick">
        <color indexed="8"/>
      </bottom>
    </border>
    <border>
      <left style="medium">
        <color indexed="14"/>
      </left>
      <right>
        <color indexed="63"/>
      </right>
      <top style="medium">
        <color indexed="14"/>
      </top>
      <bottom>
        <color indexed="63"/>
      </bottom>
    </border>
    <border>
      <left>
        <color indexed="63"/>
      </left>
      <right>
        <color indexed="63"/>
      </right>
      <top style="medium">
        <color indexed="14"/>
      </top>
      <bottom>
        <color indexed="63"/>
      </bottom>
    </border>
    <border>
      <left>
        <color indexed="63"/>
      </left>
      <right style="medium">
        <color indexed="14"/>
      </right>
      <top style="medium">
        <color indexed="14"/>
      </top>
      <bottom>
        <color indexed="63"/>
      </bottom>
    </border>
    <border>
      <left style="medium">
        <color indexed="14"/>
      </left>
      <right>
        <color indexed="63"/>
      </right>
      <top style="medium">
        <color indexed="14"/>
      </top>
      <bottom style="thin">
        <color indexed="14"/>
      </bottom>
    </border>
    <border>
      <left>
        <color indexed="63"/>
      </left>
      <right>
        <color indexed="63"/>
      </right>
      <top style="medium">
        <color indexed="14"/>
      </top>
      <bottom style="thin">
        <color indexed="14"/>
      </bottom>
    </border>
    <border>
      <left>
        <color indexed="63"/>
      </left>
      <right style="medium">
        <color indexed="14"/>
      </right>
      <top style="medium">
        <color indexed="14"/>
      </top>
      <bottom style="thin">
        <color indexed="14"/>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9" fontId="0" fillId="0" borderId="0" applyFont="0" applyFill="0" applyBorder="0" applyAlignment="0" applyProtection="0"/>
  </cellStyleXfs>
  <cellXfs count="1126">
    <xf numFmtId="0" fontId="0" fillId="0" borderId="0" xfId="0" applyAlignment="1">
      <alignment/>
    </xf>
    <xf numFmtId="0" fontId="1" fillId="0" borderId="0" xfId="0" applyFont="1" applyAlignment="1">
      <alignment/>
    </xf>
    <xf numFmtId="0" fontId="0" fillId="0" borderId="0" xfId="0" applyAlignment="1">
      <alignment horizontal="center" vertical="center"/>
    </xf>
    <xf numFmtId="0" fontId="2" fillId="0" borderId="1" xfId="0" applyFont="1" applyBorder="1" applyAlignment="1">
      <alignment/>
    </xf>
    <xf numFmtId="0" fontId="1" fillId="0" borderId="1" xfId="0" applyFont="1" applyBorder="1" applyAlignment="1">
      <alignment horizontal="center" vertical="center"/>
    </xf>
    <xf numFmtId="0" fontId="0" fillId="0" borderId="1" xfId="0" applyBorder="1" applyAlignment="1">
      <alignment/>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3" fontId="0" fillId="0" borderId="1" xfId="0" applyNumberFormat="1" applyBorder="1" applyAlignment="1">
      <alignment/>
    </xf>
    <xf numFmtId="3" fontId="0" fillId="0" borderId="0" xfId="0" applyNumberFormat="1" applyAlignment="1">
      <alignment/>
    </xf>
    <xf numFmtId="3" fontId="1" fillId="0" borderId="0" xfId="0" applyNumberFormat="1" applyFont="1" applyAlignment="1">
      <alignment/>
    </xf>
    <xf numFmtId="0" fontId="1" fillId="0" borderId="1" xfId="0" applyFont="1" applyBorder="1" applyAlignment="1">
      <alignment/>
    </xf>
    <xf numFmtId="0" fontId="0" fillId="0" borderId="1" xfId="0" applyBorder="1" applyAlignment="1">
      <alignment horizontal="center"/>
    </xf>
    <xf numFmtId="178" fontId="0" fillId="0" borderId="1" xfId="0" applyNumberFormat="1" applyBorder="1" applyAlignment="1">
      <alignment/>
    </xf>
    <xf numFmtId="179" fontId="0" fillId="0" borderId="1" xfId="0" applyNumberFormat="1" applyBorder="1" applyAlignment="1">
      <alignment/>
    </xf>
    <xf numFmtId="179" fontId="1" fillId="0" borderId="1" xfId="0" applyNumberFormat="1" applyFont="1" applyBorder="1" applyAlignment="1">
      <alignment/>
    </xf>
    <xf numFmtId="9" fontId="0" fillId="0" borderId="1" xfId="0" applyNumberFormat="1" applyBorder="1" applyAlignment="1">
      <alignment/>
    </xf>
    <xf numFmtId="0" fontId="1" fillId="0" borderId="2" xfId="0" applyFont="1" applyBorder="1" applyAlignment="1">
      <alignment/>
    </xf>
    <xf numFmtId="0" fontId="0" fillId="0" borderId="3" xfId="0" applyBorder="1" applyAlignment="1">
      <alignment/>
    </xf>
    <xf numFmtId="0" fontId="0" fillId="0" borderId="3" xfId="0" applyBorder="1" applyAlignment="1">
      <alignment horizontal="center"/>
    </xf>
    <xf numFmtId="179" fontId="0" fillId="0" borderId="3" xfId="0" applyNumberFormat="1" applyBorder="1" applyAlignment="1">
      <alignment/>
    </xf>
    <xf numFmtId="179" fontId="1" fillId="0" borderId="3" xfId="0" applyNumberFormat="1" applyFont="1"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4" xfId="0" applyFont="1" applyBorder="1" applyAlignment="1">
      <alignment/>
    </xf>
    <xf numFmtId="0" fontId="1" fillId="0" borderId="5" xfId="0" applyFont="1" applyBorder="1" applyAlignment="1">
      <alignment/>
    </xf>
    <xf numFmtId="0" fontId="2" fillId="0" borderId="0" xfId="0" applyFont="1" applyAlignment="1">
      <alignment/>
    </xf>
    <xf numFmtId="0" fontId="2" fillId="0" borderId="1" xfId="0" applyFont="1" applyBorder="1" applyAlignment="1">
      <alignment horizontal="center"/>
    </xf>
    <xf numFmtId="0" fontId="3"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xf>
    <xf numFmtId="180" fontId="0" fillId="0" borderId="0" xfId="0" applyNumberFormat="1" applyAlignment="1">
      <alignment/>
    </xf>
    <xf numFmtId="3" fontId="1" fillId="0" borderId="1" xfId="0" applyNumberFormat="1" applyFont="1" applyBorder="1" applyAlignment="1">
      <alignment/>
    </xf>
    <xf numFmtId="0" fontId="1" fillId="0" borderId="1" xfId="0" applyFont="1" applyBorder="1" applyAlignment="1">
      <alignment horizontal="left" wrapText="1"/>
    </xf>
    <xf numFmtId="3" fontId="8" fillId="0" borderId="1" xfId="0" applyNumberFormat="1" applyFont="1" applyBorder="1" applyAlignment="1">
      <alignment/>
    </xf>
    <xf numFmtId="180" fontId="9" fillId="0" borderId="1" xfId="0" applyNumberFormat="1" applyFont="1" applyBorder="1" applyAlignment="1">
      <alignment/>
    </xf>
    <xf numFmtId="0" fontId="2" fillId="0" borderId="4" xfId="0" applyFont="1" applyBorder="1" applyAlignment="1">
      <alignment horizontal="center" vertical="center" wrapText="1"/>
    </xf>
    <xf numFmtId="3" fontId="1" fillId="0" borderId="4" xfId="0" applyNumberFormat="1" applyFont="1" applyBorder="1" applyAlignment="1">
      <alignment/>
    </xf>
    <xf numFmtId="3" fontId="8" fillId="0" borderId="4" xfId="0" applyNumberFormat="1" applyFont="1" applyBorder="1" applyAlignment="1">
      <alignment/>
    </xf>
    <xf numFmtId="0" fontId="1" fillId="0" borderId="7" xfId="0" applyFont="1" applyBorder="1" applyAlignment="1">
      <alignment horizontal="center" vertical="center"/>
    </xf>
    <xf numFmtId="0" fontId="0" fillId="0" borderId="7" xfId="0" applyBorder="1" applyAlignment="1">
      <alignment/>
    </xf>
    <xf numFmtId="3" fontId="1" fillId="0" borderId="7" xfId="0" applyNumberFormat="1" applyFont="1" applyBorder="1" applyAlignment="1">
      <alignment/>
    </xf>
    <xf numFmtId="180" fontId="9" fillId="0" borderId="7" xfId="0" applyNumberFormat="1" applyFont="1" applyBorder="1" applyAlignment="1">
      <alignment/>
    </xf>
    <xf numFmtId="3" fontId="8" fillId="0" borderId="7" xfId="0" applyNumberFormat="1" applyFont="1" applyBorder="1" applyAlignment="1">
      <alignment/>
    </xf>
    <xf numFmtId="0" fontId="1" fillId="0" borderId="1" xfId="0" applyFont="1" applyBorder="1" applyAlignment="1">
      <alignment vertical="center"/>
    </xf>
    <xf numFmtId="0" fontId="1" fillId="0" borderId="1" xfId="0" applyFont="1" applyBorder="1" applyAlignment="1">
      <alignment vertical="center" wrapText="1"/>
    </xf>
    <xf numFmtId="0" fontId="10" fillId="0" borderId="4" xfId="0" applyFont="1" applyBorder="1" applyAlignment="1" quotePrefix="1">
      <alignment horizontal="center" vertical="center" wrapText="1"/>
    </xf>
    <xf numFmtId="0" fontId="1" fillId="0" borderId="0" xfId="0" applyFont="1" applyAlignment="1">
      <alignment horizontal="center" vertical="center"/>
    </xf>
    <xf numFmtId="0" fontId="0" fillId="0" borderId="0" xfId="0" applyAlignment="1">
      <alignment horizontal="center"/>
    </xf>
    <xf numFmtId="0" fontId="1" fillId="0" borderId="6" xfId="0" applyFont="1" applyBorder="1" applyAlignment="1">
      <alignment/>
    </xf>
    <xf numFmtId="0" fontId="0" fillId="0" borderId="2" xfId="0" applyBorder="1" applyAlignment="1">
      <alignment/>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center" vertical="center"/>
    </xf>
    <xf numFmtId="0" fontId="12" fillId="0" borderId="9" xfId="0" applyFont="1" applyBorder="1" applyAlignment="1">
      <alignment horizontal="left" vertical="center"/>
    </xf>
    <xf numFmtId="179" fontId="6" fillId="0" borderId="10" xfId="0" applyNumberFormat="1"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3" fontId="1" fillId="0" borderId="13" xfId="0" applyNumberFormat="1"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3" fontId="1" fillId="0" borderId="18" xfId="0" applyNumberFormat="1" applyFont="1" applyBorder="1" applyAlignment="1">
      <alignment/>
    </xf>
    <xf numFmtId="0" fontId="1" fillId="0" borderId="3" xfId="0" applyFont="1" applyBorder="1" applyAlignment="1">
      <alignment horizontal="center" vertical="center"/>
    </xf>
    <xf numFmtId="179" fontId="6" fillId="0" borderId="0" xfId="0" applyNumberFormat="1" applyFont="1" applyBorder="1" applyAlignment="1">
      <alignment/>
    </xf>
    <xf numFmtId="0" fontId="6" fillId="0" borderId="19" xfId="0" applyFont="1" applyBorder="1" applyAlignment="1">
      <alignment/>
    </xf>
    <xf numFmtId="1" fontId="12" fillId="0" borderId="19"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vertical="center"/>
    </xf>
    <xf numFmtId="0" fontId="12" fillId="0" borderId="19" xfId="0" applyFont="1" applyBorder="1" applyAlignment="1">
      <alignment horizontal="center" vertical="center" wrapText="1"/>
    </xf>
    <xf numFmtId="183" fontId="12" fillId="0" borderId="23" xfId="0" applyNumberFormat="1" applyFont="1" applyBorder="1" applyAlignment="1">
      <alignment vertical="center"/>
    </xf>
    <xf numFmtId="0" fontId="6" fillId="0" borderId="23" xfId="0" applyFont="1" applyBorder="1" applyAlignment="1">
      <alignment/>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4" xfId="0" applyFont="1" applyBorder="1" applyAlignment="1">
      <alignment horizontal="center" vertical="center"/>
    </xf>
    <xf numFmtId="183" fontId="12" fillId="0" borderId="19" xfId="0" applyNumberFormat="1" applyFont="1" applyBorder="1" applyAlignment="1">
      <alignment horizontal="center" vertical="center"/>
    </xf>
    <xf numFmtId="9" fontId="0" fillId="0" borderId="1" xfId="0" applyNumberFormat="1" applyBorder="1" applyAlignment="1">
      <alignment horizontal="center"/>
    </xf>
    <xf numFmtId="0" fontId="1" fillId="0" borderId="1" xfId="0" applyFont="1" applyBorder="1" applyAlignment="1" quotePrefix="1">
      <alignment horizontal="center" vertical="center" wrapText="1"/>
    </xf>
    <xf numFmtId="0" fontId="0" fillId="0" borderId="0"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Fill="1" applyAlignment="1">
      <alignment/>
    </xf>
    <xf numFmtId="0" fontId="1"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0" fontId="0" fillId="0" borderId="28" xfId="0" applyFill="1" applyBorder="1" applyAlignment="1">
      <alignment/>
    </xf>
    <xf numFmtId="0" fontId="0" fillId="0" borderId="0" xfId="0" applyFont="1" applyFill="1" applyBorder="1" applyAlignment="1">
      <alignment/>
    </xf>
    <xf numFmtId="3" fontId="0" fillId="0" borderId="29" xfId="0" applyNumberFormat="1" applyFill="1" applyBorder="1" applyAlignment="1">
      <alignment/>
    </xf>
    <xf numFmtId="3" fontId="0" fillId="0" borderId="0" xfId="0" applyNumberFormat="1" applyFill="1" applyAlignment="1">
      <alignment/>
    </xf>
    <xf numFmtId="172" fontId="0" fillId="0" borderId="29" xfId="0" applyNumberFormat="1" applyFill="1" applyBorder="1" applyAlignment="1">
      <alignment/>
    </xf>
    <xf numFmtId="2" fontId="0" fillId="0" borderId="29" xfId="0" applyNumberFormat="1" applyFill="1" applyBorder="1" applyAlignment="1">
      <alignment/>
    </xf>
    <xf numFmtId="0" fontId="0" fillId="0" borderId="30" xfId="0" applyFill="1" applyBorder="1" applyAlignment="1">
      <alignment/>
    </xf>
    <xf numFmtId="0" fontId="1" fillId="0" borderId="0" xfId="0" applyFont="1" applyFill="1" applyBorder="1" applyAlignment="1">
      <alignment/>
    </xf>
    <xf numFmtId="179" fontId="0" fillId="0" borderId="1" xfId="0" applyNumberFormat="1" applyFill="1" applyBorder="1" applyAlignment="1">
      <alignment/>
    </xf>
    <xf numFmtId="0" fontId="1" fillId="0" borderId="27" xfId="0" applyFont="1" applyFill="1" applyBorder="1" applyAlignment="1">
      <alignment horizontal="right"/>
    </xf>
    <xf numFmtId="172" fontId="0" fillId="0" borderId="28" xfId="0" applyNumberFormat="1" applyFill="1" applyBorder="1" applyAlignment="1">
      <alignment/>
    </xf>
    <xf numFmtId="0" fontId="0" fillId="0" borderId="0" xfId="0" applyBorder="1" applyAlignment="1">
      <alignment horizontal="right"/>
    </xf>
    <xf numFmtId="0" fontId="5" fillId="0" borderId="0" xfId="0" applyFont="1" applyBorder="1" applyAlignment="1" quotePrefix="1">
      <alignment horizontal="center"/>
    </xf>
    <xf numFmtId="0" fontId="19" fillId="0" borderId="0" xfId="0" applyFont="1" applyFill="1" applyBorder="1" applyAlignment="1">
      <alignment/>
    </xf>
    <xf numFmtId="0" fontId="19" fillId="0" borderId="0" xfId="0" applyFont="1" applyBorder="1" applyAlignment="1">
      <alignment/>
    </xf>
    <xf numFmtId="9" fontId="0" fillId="0" borderId="1" xfId="0" applyNumberFormat="1" applyFill="1" applyBorder="1" applyAlignment="1">
      <alignment horizontal="center"/>
    </xf>
    <xf numFmtId="9" fontId="0" fillId="0" borderId="0" xfId="0" applyNumberFormat="1" applyFill="1" applyBorder="1" applyAlignment="1">
      <alignment/>
    </xf>
    <xf numFmtId="3" fontId="0" fillId="0" borderId="0" xfId="0" applyNumberFormat="1" applyFill="1" applyBorder="1" applyAlignment="1">
      <alignment/>
    </xf>
    <xf numFmtId="9" fontId="0" fillId="0" borderId="27" xfId="0" applyNumberFormat="1" applyFill="1" applyBorder="1" applyAlignment="1">
      <alignment/>
    </xf>
    <xf numFmtId="184" fontId="0" fillId="0" borderId="5" xfId="0" applyNumberFormat="1" applyFill="1" applyBorder="1" applyAlignment="1">
      <alignment/>
    </xf>
    <xf numFmtId="184" fontId="0" fillId="0" borderId="1" xfId="0" applyNumberFormat="1" applyFill="1" applyBorder="1" applyAlignment="1">
      <alignment/>
    </xf>
    <xf numFmtId="0" fontId="2" fillId="0" borderId="0" xfId="0" applyFont="1" applyBorder="1" applyAlignment="1">
      <alignment/>
    </xf>
    <xf numFmtId="0" fontId="0" fillId="0" borderId="27" xfId="0" applyBorder="1" applyAlignment="1">
      <alignment/>
    </xf>
    <xf numFmtId="0" fontId="19" fillId="0" borderId="27" xfId="0" applyFont="1" applyBorder="1" applyAlignment="1">
      <alignment/>
    </xf>
    <xf numFmtId="1" fontId="1" fillId="0" borderId="5" xfId="0" applyNumberFormat="1" applyFont="1" applyBorder="1" applyAlignment="1">
      <alignment/>
    </xf>
    <xf numFmtId="1" fontId="1" fillId="0" borderId="1" xfId="0" applyNumberFormat="1" applyFont="1" applyBorder="1" applyAlignment="1">
      <alignment/>
    </xf>
    <xf numFmtId="3" fontId="19" fillId="0" borderId="1" xfId="0" applyNumberFormat="1" applyFont="1" applyFill="1" applyBorder="1" applyAlignment="1">
      <alignment/>
    </xf>
    <xf numFmtId="183" fontId="1" fillId="0" borderId="5" xfId="0" applyNumberFormat="1" applyFont="1" applyBorder="1" applyAlignment="1">
      <alignment/>
    </xf>
    <xf numFmtId="183" fontId="1" fillId="0" borderId="1" xfId="0" applyNumberFormat="1" applyFont="1" applyBorder="1" applyAlignment="1">
      <alignment/>
    </xf>
    <xf numFmtId="3" fontId="1" fillId="0" borderId="5" xfId="0" applyNumberFormat="1" applyFont="1" applyBorder="1" applyAlignment="1">
      <alignment/>
    </xf>
    <xf numFmtId="2" fontId="1" fillId="0" borderId="5" xfId="0" applyNumberFormat="1" applyFont="1" applyBorder="1" applyAlignment="1">
      <alignment/>
    </xf>
    <xf numFmtId="2" fontId="1" fillId="0" borderId="1" xfId="0" applyNumberFormat="1" applyFont="1" applyBorder="1" applyAlignment="1">
      <alignment/>
    </xf>
    <xf numFmtId="172" fontId="1" fillId="0" borderId="29" xfId="0" applyNumberFormat="1" applyFont="1" applyFill="1" applyBorder="1" applyAlignment="1">
      <alignment/>
    </xf>
    <xf numFmtId="172" fontId="1" fillId="0" borderId="31" xfId="0" applyNumberFormat="1" applyFont="1" applyFill="1" applyBorder="1" applyAlignment="1">
      <alignment/>
    </xf>
    <xf numFmtId="3" fontId="1" fillId="0" borderId="29" xfId="0" applyNumberFormat="1" applyFont="1" applyFill="1" applyBorder="1" applyAlignment="1">
      <alignment/>
    </xf>
    <xf numFmtId="2" fontId="18" fillId="0" borderId="1" xfId="0" applyNumberFormat="1" applyFont="1" applyBorder="1" applyAlignment="1">
      <alignment/>
    </xf>
    <xf numFmtId="0" fontId="12" fillId="0" borderId="0" xfId="0" applyFont="1" applyAlignment="1" quotePrefix="1">
      <alignment horizontal="right"/>
    </xf>
    <xf numFmtId="3" fontId="1" fillId="0" borderId="0" xfId="0" applyNumberFormat="1" applyFont="1" applyBorder="1" applyAlignment="1">
      <alignment/>
    </xf>
    <xf numFmtId="0" fontId="0" fillId="0" borderId="1" xfId="0" applyFill="1" applyBorder="1" applyAlignment="1">
      <alignment/>
    </xf>
    <xf numFmtId="2" fontId="0" fillId="0" borderId="1" xfId="0" applyNumberFormat="1" applyBorder="1" applyAlignment="1">
      <alignment/>
    </xf>
    <xf numFmtId="0" fontId="1" fillId="0" borderId="0" xfId="0" applyFont="1" applyFill="1" applyBorder="1" applyAlignment="1">
      <alignment horizontal="right"/>
    </xf>
    <xf numFmtId="0" fontId="19" fillId="0" borderId="0" xfId="0" applyFon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right"/>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0" fillId="0" borderId="1" xfId="0" applyFont="1" applyFill="1" applyBorder="1" applyAlignment="1">
      <alignment/>
    </xf>
    <xf numFmtId="3" fontId="0" fillId="0" borderId="1" xfId="0" applyNumberFormat="1" applyFont="1" applyFill="1" applyBorder="1" applyAlignment="1">
      <alignment/>
    </xf>
    <xf numFmtId="0" fontId="1" fillId="0" borderId="1" xfId="0" applyFont="1" applyFill="1" applyBorder="1" applyAlignment="1">
      <alignment horizontal="center"/>
    </xf>
    <xf numFmtId="0" fontId="1" fillId="0" borderId="29" xfId="0" applyFont="1" applyFill="1" applyBorder="1" applyAlignment="1">
      <alignment horizontal="center"/>
    </xf>
    <xf numFmtId="174" fontId="1" fillId="0" borderId="29" xfId="0" applyNumberFormat="1" applyFont="1" applyFill="1" applyBorder="1" applyAlignment="1">
      <alignment/>
    </xf>
    <xf numFmtId="174" fontId="1" fillId="0" borderId="31" xfId="0" applyNumberFormat="1" applyFont="1" applyFill="1" applyBorder="1" applyAlignment="1">
      <alignment/>
    </xf>
    <xf numFmtId="3" fontId="0" fillId="0" borderId="26" xfId="0" applyNumberFormat="1" applyFill="1" applyBorder="1" applyAlignment="1">
      <alignment/>
    </xf>
    <xf numFmtId="0" fontId="1" fillId="0" borderId="1" xfId="0" applyFont="1" applyBorder="1" applyAlignment="1">
      <alignment horizontal="center"/>
    </xf>
    <xf numFmtId="0" fontId="0" fillId="0" borderId="34" xfId="0" applyBorder="1" applyAlignment="1">
      <alignment/>
    </xf>
    <xf numFmtId="0" fontId="4" fillId="3" borderId="35" xfId="0" applyFont="1" applyFill="1" applyBorder="1" applyAlignment="1">
      <alignment horizontal="center" vertical="center"/>
    </xf>
    <xf numFmtId="0" fontId="23" fillId="0" borderId="0" xfId="0" applyFont="1" applyAlignment="1">
      <alignment/>
    </xf>
    <xf numFmtId="0" fontId="23" fillId="0" borderId="0" xfId="0" applyFont="1" applyAlignment="1">
      <alignment horizontal="center"/>
    </xf>
    <xf numFmtId="3" fontId="23" fillId="0" borderId="0" xfId="0" applyNumberFormat="1" applyFont="1" applyAlignment="1">
      <alignment/>
    </xf>
    <xf numFmtId="0" fontId="23" fillId="0" borderId="0" xfId="0" applyFont="1" applyBorder="1" applyAlignment="1">
      <alignment/>
    </xf>
    <xf numFmtId="3" fontId="2" fillId="0" borderId="1" xfId="0" applyNumberFormat="1" applyFont="1" applyBorder="1" applyAlignment="1">
      <alignment horizontal="center" vertical="center" wrapText="1"/>
    </xf>
    <xf numFmtId="178" fontId="22" fillId="0" borderId="1" xfId="0" applyNumberFormat="1" applyFont="1" applyBorder="1" applyAlignment="1">
      <alignment horizontal="center"/>
    </xf>
    <xf numFmtId="179" fontId="22" fillId="0" borderId="1" xfId="0" applyNumberFormat="1" applyFont="1" applyBorder="1" applyAlignment="1">
      <alignment/>
    </xf>
    <xf numFmtId="0" fontId="24" fillId="0" borderId="0" xfId="0" applyFont="1" applyAlignment="1">
      <alignment/>
    </xf>
    <xf numFmtId="0" fontId="24" fillId="0" borderId="1" xfId="0" applyFont="1" applyBorder="1" applyAlignment="1">
      <alignment/>
    </xf>
    <xf numFmtId="0" fontId="25" fillId="0" borderId="0" xfId="0" applyFont="1" applyAlignment="1">
      <alignment/>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32" fillId="0" borderId="0" xfId="0" applyFont="1" applyAlignment="1">
      <alignment/>
    </xf>
    <xf numFmtId="2" fontId="1" fillId="0" borderId="0" xfId="0" applyNumberFormat="1" applyFont="1" applyAlignment="1">
      <alignment/>
    </xf>
    <xf numFmtId="0" fontId="1" fillId="0" borderId="4" xfId="0" applyFont="1" applyBorder="1" applyAlignment="1">
      <alignment horizontal="center"/>
    </xf>
    <xf numFmtId="0" fontId="1" fillId="0" borderId="0" xfId="0"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2" fillId="0" borderId="4" xfId="0" applyFont="1" applyBorder="1" applyAlignment="1">
      <alignment horizontal="center"/>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xf>
    <xf numFmtId="179" fontId="1" fillId="0" borderId="0" xfId="0" applyNumberFormat="1" applyFont="1" applyBorder="1" applyAlignment="1">
      <alignment/>
    </xf>
    <xf numFmtId="179" fontId="1" fillId="0" borderId="0" xfId="0" applyNumberFormat="1" applyFont="1" applyBorder="1" applyAlignment="1">
      <alignment horizontal="center"/>
    </xf>
    <xf numFmtId="179" fontId="0" fillId="0" borderId="0" xfId="0" applyNumberFormat="1" applyAlignment="1">
      <alignment/>
    </xf>
    <xf numFmtId="9" fontId="37" fillId="0" borderId="4" xfId="0" applyNumberFormat="1" applyFont="1" applyBorder="1" applyAlignment="1">
      <alignment/>
    </xf>
    <xf numFmtId="0" fontId="37" fillId="0" borderId="6" xfId="0" applyFont="1" applyBorder="1" applyAlignment="1">
      <alignment/>
    </xf>
    <xf numFmtId="0" fontId="37" fillId="0" borderId="1" xfId="0" applyFont="1" applyBorder="1" applyAlignment="1">
      <alignment horizontal="left"/>
    </xf>
    <xf numFmtId="0" fontId="0" fillId="0" borderId="6" xfId="0" applyBorder="1" applyAlignment="1">
      <alignment horizontal="center"/>
    </xf>
    <xf numFmtId="0" fontId="0" fillId="0" borderId="5" xfId="0" applyBorder="1" applyAlignment="1">
      <alignment horizontal="center"/>
    </xf>
    <xf numFmtId="0" fontId="2" fillId="0" borderId="4" xfId="0" applyFont="1" applyBorder="1" applyAlignment="1">
      <alignment/>
    </xf>
    <xf numFmtId="3" fontId="0" fillId="0" borderId="0" xfId="0" applyNumberFormat="1" applyBorder="1" applyAlignment="1">
      <alignment/>
    </xf>
    <xf numFmtId="9" fontId="0" fillId="0" borderId="4" xfId="0" applyNumberFormat="1" applyBorder="1" applyAlignment="1">
      <alignment/>
    </xf>
    <xf numFmtId="184" fontId="0" fillId="0" borderId="1" xfId="0" applyNumberFormat="1" applyBorder="1" applyAlignment="1">
      <alignment/>
    </xf>
    <xf numFmtId="4" fontId="0" fillId="0" borderId="1" xfId="0" applyNumberFormat="1" applyBorder="1" applyAlignment="1">
      <alignment/>
    </xf>
    <xf numFmtId="0" fontId="44" fillId="0" borderId="0" xfId="0" applyFont="1" applyAlignment="1">
      <alignment horizontal="right"/>
    </xf>
    <xf numFmtId="0" fontId="2" fillId="0" borderId="0" xfId="0" applyFont="1" applyBorder="1" applyAlignment="1">
      <alignment horizontal="center"/>
    </xf>
    <xf numFmtId="1" fontId="2" fillId="0" borderId="4" xfId="0" applyNumberFormat="1" applyFont="1" applyBorder="1" applyAlignment="1">
      <alignment horizontal="center"/>
    </xf>
    <xf numFmtId="1" fontId="2" fillId="0" borderId="5" xfId="0" applyNumberFormat="1" applyFont="1" applyBorder="1" applyAlignment="1">
      <alignment horizontal="center"/>
    </xf>
    <xf numFmtId="0" fontId="1" fillId="0" borderId="1" xfId="0" applyFont="1" applyFill="1" applyBorder="1" applyAlignment="1">
      <alignment/>
    </xf>
    <xf numFmtId="0" fontId="2" fillId="0" borderId="5" xfId="0" applyFont="1" applyBorder="1" applyAlignment="1">
      <alignment/>
    </xf>
    <xf numFmtId="0" fontId="47" fillId="0" borderId="0" xfId="0" applyFont="1" applyAlignment="1">
      <alignment/>
    </xf>
    <xf numFmtId="182" fontId="0" fillId="0" borderId="4" xfId="0" applyNumberFormat="1" applyBorder="1" applyAlignment="1">
      <alignment/>
    </xf>
    <xf numFmtId="0" fontId="50" fillId="0" borderId="1" xfId="0" applyFont="1" applyFill="1" applyBorder="1" applyAlignment="1">
      <alignment/>
    </xf>
    <xf numFmtId="0" fontId="50" fillId="0" borderId="1" xfId="0" applyFont="1" applyBorder="1" applyAlignment="1">
      <alignment/>
    </xf>
    <xf numFmtId="3" fontId="1" fillId="0" borderId="1" xfId="0" applyNumberFormat="1" applyFont="1" applyFill="1" applyBorder="1" applyAlignment="1">
      <alignment/>
    </xf>
    <xf numFmtId="0" fontId="0" fillId="0" borderId="42" xfId="0" applyBorder="1" applyAlignment="1">
      <alignment/>
    </xf>
    <xf numFmtId="0" fontId="34" fillId="0" borderId="0" xfId="0" applyFont="1" applyAlignment="1">
      <alignment horizontal="center"/>
    </xf>
    <xf numFmtId="0" fontId="0" fillId="0" borderId="43" xfId="0" applyBorder="1" applyAlignment="1">
      <alignment/>
    </xf>
    <xf numFmtId="0" fontId="0" fillId="0" borderId="44" xfId="0" applyBorder="1" applyAlignment="1">
      <alignment/>
    </xf>
    <xf numFmtId="179" fontId="1" fillId="0" borderId="39" xfId="0" applyNumberFormat="1" applyFont="1" applyBorder="1" applyAlignment="1">
      <alignment horizontal="center"/>
    </xf>
    <xf numFmtId="179" fontId="1" fillId="0" borderId="40" xfId="0" applyNumberFormat="1" applyFont="1" applyBorder="1" applyAlignment="1">
      <alignment horizontal="center"/>
    </xf>
    <xf numFmtId="179" fontId="1" fillId="0" borderId="39" xfId="0" applyNumberFormat="1" applyFont="1" applyBorder="1" applyAlignment="1">
      <alignment/>
    </xf>
    <xf numFmtId="179" fontId="1" fillId="0" borderId="40" xfId="0" applyNumberFormat="1" applyFont="1" applyBorder="1" applyAlignment="1">
      <alignment/>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5" xfId="0" applyFont="1" applyBorder="1" applyAlignment="1">
      <alignment horizontal="center" vertical="center"/>
    </xf>
    <xf numFmtId="178" fontId="12" fillId="0" borderId="46" xfId="0" applyNumberFormat="1" applyFont="1" applyBorder="1" applyAlignment="1">
      <alignment horizontal="center" vertical="center"/>
    </xf>
    <xf numFmtId="0" fontId="12" fillId="0" borderId="47" xfId="0" applyFont="1" applyBorder="1" applyAlignment="1">
      <alignment horizontal="center" vertical="center"/>
    </xf>
    <xf numFmtId="178" fontId="12" fillId="0" borderId="48" xfId="0" applyNumberFormat="1" applyFont="1" applyBorder="1" applyAlignment="1">
      <alignment vertical="center"/>
    </xf>
    <xf numFmtId="1" fontId="12" fillId="0" borderId="0" xfId="0" applyNumberFormat="1" applyFont="1" applyBorder="1" applyAlignment="1">
      <alignment vertical="center"/>
    </xf>
    <xf numFmtId="179" fontId="12" fillId="0" borderId="0" xfId="0" applyNumberFormat="1" applyFont="1" applyBorder="1"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left" vertical="center" wrapText="1"/>
    </xf>
    <xf numFmtId="0" fontId="12" fillId="0" borderId="49" xfId="0" applyFont="1" applyBorder="1" applyAlignment="1">
      <alignment horizontal="left"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 fillId="0" borderId="0" xfId="0" applyFont="1" applyAlignment="1">
      <alignment vertical="center"/>
    </xf>
    <xf numFmtId="179" fontId="0" fillId="0" borderId="34" xfId="0" applyNumberFormat="1" applyBorder="1" applyAlignment="1">
      <alignment/>
    </xf>
    <xf numFmtId="179" fontId="1" fillId="0" borderId="34" xfId="0" applyNumberFormat="1" applyFont="1" applyBorder="1" applyAlignment="1">
      <alignment/>
    </xf>
    <xf numFmtId="1" fontId="2" fillId="0" borderId="4"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0" fontId="7" fillId="0" borderId="0" xfId="0" applyFont="1" applyAlignment="1" applyProtection="1">
      <alignment/>
      <protection/>
    </xf>
    <xf numFmtId="0" fontId="58" fillId="0" borderId="0" xfId="0" applyFont="1" applyAlignment="1">
      <alignment horizontal="right"/>
    </xf>
    <xf numFmtId="0" fontId="1" fillId="0" borderId="0" xfId="0" applyFont="1" applyAlignment="1">
      <alignment horizontal="right" vertical="top"/>
    </xf>
    <xf numFmtId="2" fontId="12" fillId="0" borderId="19" xfId="0" applyNumberFormat="1" applyFont="1" applyBorder="1" applyAlignment="1">
      <alignment horizontal="center" vertical="center"/>
    </xf>
    <xf numFmtId="0" fontId="3" fillId="0" borderId="0" xfId="0" applyFont="1" applyFill="1" applyBorder="1" applyAlignment="1">
      <alignment horizontal="right"/>
    </xf>
    <xf numFmtId="0" fontId="3" fillId="0" borderId="0" xfId="0" applyFont="1" applyBorder="1" applyAlignment="1">
      <alignment/>
    </xf>
    <xf numFmtId="0" fontId="63" fillId="0" borderId="0" xfId="0" applyFont="1" applyBorder="1" applyAlignment="1" quotePrefix="1">
      <alignment/>
    </xf>
    <xf numFmtId="183" fontId="12" fillId="0" borderId="19" xfId="0" applyNumberFormat="1" applyFont="1" applyBorder="1" applyAlignment="1" quotePrefix="1">
      <alignment horizontal="center" vertical="center"/>
    </xf>
    <xf numFmtId="1" fontId="64" fillId="0" borderId="19" xfId="0" applyNumberFormat="1" applyFont="1" applyBorder="1" applyAlignment="1" quotePrefix="1">
      <alignment horizontal="left" vertical="center"/>
    </xf>
    <xf numFmtId="0" fontId="0" fillId="0" borderId="0" xfId="0" applyAlignment="1">
      <alignment horizontal="right"/>
    </xf>
    <xf numFmtId="0" fontId="37" fillId="0" borderId="27" xfId="0" applyFont="1" applyFill="1" applyBorder="1" applyAlignment="1" quotePrefix="1">
      <alignment horizontal="right"/>
    </xf>
    <xf numFmtId="9" fontId="37" fillId="0" borderId="1" xfId="0" applyNumberFormat="1" applyFont="1" applyFill="1" applyBorder="1" applyAlignment="1">
      <alignment/>
    </xf>
    <xf numFmtId="0" fontId="35" fillId="0" borderId="0" xfId="0" applyFont="1" applyFill="1" applyBorder="1" applyAlignment="1">
      <alignment/>
    </xf>
    <xf numFmtId="0" fontId="0" fillId="0" borderId="0" xfId="0" applyFill="1" applyAlignment="1">
      <alignment/>
    </xf>
    <xf numFmtId="179" fontId="1" fillId="0" borderId="1" xfId="0" applyNumberFormat="1" applyFont="1" applyBorder="1" applyAlignment="1">
      <alignment vertical="center"/>
    </xf>
    <xf numFmtId="0" fontId="43" fillId="0" borderId="0" xfId="0" applyFont="1" applyAlignment="1">
      <alignment horizontal="center" vertical="center"/>
    </xf>
    <xf numFmtId="0" fontId="32" fillId="0" borderId="0" xfId="0" applyFont="1" applyAlignment="1">
      <alignment horizontal="center" vertical="center" wrapText="1"/>
    </xf>
    <xf numFmtId="179" fontId="0" fillId="0" borderId="0" xfId="0" applyNumberFormat="1" applyFill="1" applyBorder="1" applyAlignment="1">
      <alignment/>
    </xf>
    <xf numFmtId="172" fontId="0" fillId="0" borderId="31" xfId="0" applyNumberFormat="1" applyFont="1" applyFill="1" applyBorder="1" applyAlignment="1">
      <alignment/>
    </xf>
    <xf numFmtId="0" fontId="68" fillId="0" borderId="39" xfId="0" applyFont="1" applyBorder="1" applyAlignment="1">
      <alignment horizontal="center" vertical="center"/>
    </xf>
    <xf numFmtId="0" fontId="68"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1" fillId="0" borderId="59" xfId="0" applyFont="1" applyBorder="1" applyAlignment="1">
      <alignment horizontal="center" vertical="center" wrapText="1"/>
    </xf>
    <xf numFmtId="0" fontId="1" fillId="0" borderId="59" xfId="0" applyFont="1" applyBorder="1" applyAlignment="1">
      <alignment horizontal="center"/>
    </xf>
    <xf numFmtId="179" fontId="1" fillId="0" borderId="60" xfId="0" applyNumberFormat="1" applyFont="1" applyBorder="1" applyAlignment="1">
      <alignment/>
    </xf>
    <xf numFmtId="179" fontId="1" fillId="0" borderId="59" xfId="0" applyNumberFormat="1" applyFont="1" applyBorder="1" applyAlignment="1">
      <alignment/>
    </xf>
    <xf numFmtId="179" fontId="1" fillId="0" borderId="61" xfId="0" applyNumberFormat="1" applyFont="1" applyBorder="1" applyAlignment="1">
      <alignment/>
    </xf>
    <xf numFmtId="179" fontId="1" fillId="0" borderId="60" xfId="0" applyNumberFormat="1" applyFont="1" applyBorder="1" applyAlignment="1">
      <alignment horizontal="center"/>
    </xf>
    <xf numFmtId="179" fontId="1" fillId="0" borderId="59" xfId="0" applyNumberFormat="1" applyFont="1" applyBorder="1" applyAlignment="1">
      <alignment horizontal="center"/>
    </xf>
    <xf numFmtId="179" fontId="1" fillId="0" borderId="61" xfId="0" applyNumberFormat="1" applyFont="1" applyBorder="1" applyAlignment="1">
      <alignment horizontal="center"/>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15" fillId="3" borderId="63" xfId="0" applyFont="1" applyFill="1" applyBorder="1" applyAlignment="1">
      <alignment horizontal="center" vertical="center" wrapText="1"/>
    </xf>
    <xf numFmtId="0" fontId="15" fillId="3" borderId="64" xfId="0" applyFont="1" applyFill="1" applyBorder="1" applyAlignment="1">
      <alignment horizontal="center" vertical="center" wrapText="1"/>
    </xf>
    <xf numFmtId="0" fontId="15" fillId="3" borderId="65"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66" xfId="0" applyFont="1" applyBorder="1" applyAlignment="1">
      <alignment horizontal="center"/>
    </xf>
    <xf numFmtId="0" fontId="67" fillId="4" borderId="67" xfId="0" applyFont="1" applyFill="1" applyBorder="1" applyAlignment="1">
      <alignment horizontal="center" vertical="center"/>
    </xf>
    <xf numFmtId="0" fontId="67" fillId="0" borderId="68" xfId="0" applyFont="1" applyBorder="1" applyAlignment="1">
      <alignment horizontal="center" vertical="center"/>
    </xf>
    <xf numFmtId="1" fontId="67" fillId="4" borderId="67" xfId="0" applyNumberFormat="1" applyFont="1" applyFill="1" applyBorder="1" applyAlignment="1">
      <alignment horizontal="center" vertical="center"/>
    </xf>
    <xf numFmtId="0" fontId="0" fillId="0" borderId="1" xfId="0" applyBorder="1" applyAlignment="1">
      <alignment vertical="center"/>
    </xf>
    <xf numFmtId="179" fontId="0" fillId="0" borderId="1" xfId="0" applyNumberFormat="1" applyBorder="1" applyAlignment="1">
      <alignment vertical="center"/>
    </xf>
    <xf numFmtId="2" fontId="0" fillId="0" borderId="1" xfId="0" applyNumberFormat="1" applyBorder="1" applyAlignment="1">
      <alignment horizontal="right" vertical="center"/>
    </xf>
    <xf numFmtId="0" fontId="0" fillId="0" borderId="1" xfId="0" applyBorder="1" applyAlignment="1">
      <alignment horizontal="left" vertical="center" wrapText="1"/>
    </xf>
    <xf numFmtId="0" fontId="17" fillId="2"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ont="1" applyFill="1" applyBorder="1" applyAlignment="1">
      <alignment/>
    </xf>
    <xf numFmtId="3" fontId="0" fillId="0" borderId="0" xfId="0" applyNumberFormat="1" applyFont="1" applyFill="1" applyBorder="1" applyAlignment="1">
      <alignment/>
    </xf>
    <xf numFmtId="9" fontId="37" fillId="0" borderId="0" xfId="0" applyNumberFormat="1" applyFont="1" applyFill="1" applyBorder="1" applyAlignment="1">
      <alignment/>
    </xf>
    <xf numFmtId="172" fontId="1" fillId="0" borderId="0" xfId="0" applyNumberFormat="1" applyFont="1" applyFill="1" applyBorder="1" applyAlignment="1">
      <alignment/>
    </xf>
    <xf numFmtId="2" fontId="0" fillId="0" borderId="0" xfId="0" applyNumberFormat="1" applyFill="1" applyBorder="1" applyAlignment="1">
      <alignment/>
    </xf>
    <xf numFmtId="174" fontId="1" fillId="0" borderId="0" xfId="0" applyNumberFormat="1" applyFont="1" applyFill="1" applyBorder="1" applyAlignment="1">
      <alignment/>
    </xf>
    <xf numFmtId="172" fontId="0" fillId="0" borderId="0" xfId="0" applyNumberFormat="1" applyFill="1" applyBorder="1" applyAlignment="1">
      <alignment/>
    </xf>
    <xf numFmtId="1" fontId="1" fillId="0" borderId="0" xfId="0" applyNumberFormat="1" applyFont="1" applyBorder="1" applyAlignment="1">
      <alignment/>
    </xf>
    <xf numFmtId="183" fontId="1" fillId="0" borderId="0" xfId="0" applyNumberFormat="1" applyFont="1" applyBorder="1" applyAlignment="1">
      <alignment/>
    </xf>
    <xf numFmtId="3" fontId="1" fillId="0" borderId="0" xfId="0" applyNumberFormat="1" applyFont="1" applyFill="1" applyBorder="1" applyAlignment="1">
      <alignment/>
    </xf>
    <xf numFmtId="2" fontId="1" fillId="0" borderId="0" xfId="0" applyNumberFormat="1" applyFont="1" applyBorder="1" applyAlignment="1">
      <alignment/>
    </xf>
    <xf numFmtId="0" fontId="3" fillId="0" borderId="0" xfId="0" applyFont="1" applyFill="1" applyBorder="1" applyAlignment="1">
      <alignment/>
    </xf>
    <xf numFmtId="0" fontId="0" fillId="0" borderId="27" xfId="0" applyFill="1" applyBorder="1" applyAlignment="1">
      <alignment horizontal="right"/>
    </xf>
    <xf numFmtId="2" fontId="0" fillId="0" borderId="1" xfId="0" applyNumberFormat="1" applyBorder="1" applyAlignment="1">
      <alignment horizontal="center" vertical="center"/>
    </xf>
    <xf numFmtId="0" fontId="5" fillId="0" borderId="1" xfId="0" applyFont="1" applyBorder="1" applyAlignment="1">
      <alignment horizontal="left" vertical="center" wrapText="1"/>
    </xf>
    <xf numFmtId="0" fontId="8" fillId="0" borderId="69" xfId="0" applyFont="1" applyFill="1" applyBorder="1" applyAlignment="1">
      <alignment horizontal="center"/>
    </xf>
    <xf numFmtId="0" fontId="1" fillId="0" borderId="70" xfId="0" applyFont="1" applyFill="1" applyBorder="1" applyAlignment="1">
      <alignment/>
    </xf>
    <xf numFmtId="0" fontId="12" fillId="0" borderId="0" xfId="0" applyFont="1" applyAlignment="1" quotePrefix="1">
      <alignment horizontal="center" vertical="center"/>
    </xf>
    <xf numFmtId="172" fontId="0" fillId="0" borderId="0" xfId="0" applyNumberFormat="1" applyAlignment="1">
      <alignment/>
    </xf>
    <xf numFmtId="1" fontId="0" fillId="0" borderId="0" xfId="0" applyNumberFormat="1" applyAlignment="1">
      <alignment horizontal="center"/>
    </xf>
    <xf numFmtId="1" fontId="0" fillId="0" borderId="0" xfId="0" applyNumberFormat="1" applyAlignment="1">
      <alignment horizontal="left"/>
    </xf>
    <xf numFmtId="172" fontId="0" fillId="0" borderId="1" xfId="0" applyNumberFormat="1" applyFont="1" applyFill="1" applyBorder="1" applyAlignment="1">
      <alignment horizontal="center"/>
    </xf>
    <xf numFmtId="1" fontId="0" fillId="0" borderId="0" xfId="0" applyNumberFormat="1" applyBorder="1" applyAlignment="1">
      <alignment horizontal="center"/>
    </xf>
    <xf numFmtId="0" fontId="70" fillId="0" borderId="0" xfId="0" applyFont="1" applyAlignment="1">
      <alignment horizontal="right" vertical="center"/>
    </xf>
    <xf numFmtId="0" fontId="70" fillId="0" borderId="0" xfId="0" applyFont="1" applyAlignment="1">
      <alignment horizontal="left" vertical="center"/>
    </xf>
    <xf numFmtId="0" fontId="71" fillId="0" borderId="0" xfId="0" applyFont="1" applyAlignment="1">
      <alignment horizontal="left" vertical="center"/>
    </xf>
    <xf numFmtId="0" fontId="3" fillId="5" borderId="0" xfId="0" applyFont="1" applyFill="1" applyAlignment="1">
      <alignment horizontal="center" vertical="center"/>
    </xf>
    <xf numFmtId="0" fontId="0" fillId="5" borderId="0" xfId="0" applyFill="1" applyAlignment="1">
      <alignment/>
    </xf>
    <xf numFmtId="0" fontId="2" fillId="5" borderId="0" xfId="0" applyFont="1" applyFill="1" applyAlignment="1">
      <alignment horizontal="center" vertical="center"/>
    </xf>
    <xf numFmtId="0" fontId="2" fillId="5" borderId="0" xfId="0" applyFont="1" applyFill="1" applyBorder="1" applyAlignment="1">
      <alignment horizontal="center" vertical="center"/>
    </xf>
    <xf numFmtId="0" fontId="65" fillId="5" borderId="0" xfId="0" applyFont="1" applyFill="1" applyBorder="1" applyAlignment="1">
      <alignment horizontal="center" vertical="center"/>
    </xf>
    <xf numFmtId="0" fontId="3" fillId="5" borderId="0" xfId="0" applyFont="1" applyFill="1" applyAlignment="1">
      <alignment/>
    </xf>
    <xf numFmtId="0" fontId="3" fillId="5" borderId="0" xfId="0" applyFont="1" applyFill="1" applyAlignment="1">
      <alignment horizontal="center" vertical="center" wrapText="1"/>
    </xf>
    <xf numFmtId="0" fontId="65" fillId="0" borderId="0" xfId="0" applyFont="1" applyAlignment="1">
      <alignment horizontal="left" vertical="center"/>
    </xf>
    <xf numFmtId="0" fontId="65" fillId="5" borderId="0" xfId="0" applyFont="1" applyFill="1" applyAlignment="1">
      <alignment horizontal="left" vertical="center"/>
    </xf>
    <xf numFmtId="0" fontId="0" fillId="5" borderId="0" xfId="0" applyFill="1" applyBorder="1" applyAlignment="1">
      <alignment/>
    </xf>
    <xf numFmtId="0" fontId="35" fillId="5" borderId="0" xfId="0" applyFont="1" applyFill="1" applyAlignment="1">
      <alignment horizontal="center"/>
    </xf>
    <xf numFmtId="0" fontId="5" fillId="0" borderId="1" xfId="0" applyFont="1" applyBorder="1" applyAlignment="1" applyProtection="1">
      <alignment horizontal="left"/>
      <protection locked="0"/>
    </xf>
    <xf numFmtId="0" fontId="0" fillId="0" borderId="5" xfId="0" applyBorder="1" applyAlignment="1" applyProtection="1">
      <alignment horizontal="left"/>
      <protection locked="0"/>
    </xf>
    <xf numFmtId="0" fontId="1" fillId="0" borderId="70" xfId="0" applyFont="1" applyFill="1" applyBorder="1" applyAlignment="1" applyProtection="1">
      <alignment horizontal="center"/>
      <protection locked="0"/>
    </xf>
    <xf numFmtId="0" fontId="0" fillId="0" borderId="0" xfId="0" applyBorder="1" applyAlignment="1" applyProtection="1">
      <alignment horizontal="left"/>
      <protection locked="0"/>
    </xf>
    <xf numFmtId="178" fontId="1" fillId="6" borderId="25" xfId="0" applyNumberFormat="1" applyFont="1" applyFill="1" applyBorder="1" applyAlignment="1" applyProtection="1">
      <alignment/>
      <protection locked="0"/>
    </xf>
    <xf numFmtId="0" fontId="65" fillId="7" borderId="71" xfId="0" applyFont="1" applyFill="1" applyBorder="1" applyAlignment="1" applyProtection="1">
      <alignment horizontal="center"/>
      <protection locked="0"/>
    </xf>
    <xf numFmtId="0" fontId="1" fillId="7" borderId="71" xfId="0" applyFont="1" applyFill="1" applyBorder="1" applyAlignment="1" applyProtection="1">
      <alignment horizontal="center"/>
      <protection locked="0"/>
    </xf>
    <xf numFmtId="0" fontId="0" fillId="0" borderId="0" xfId="0" applyFill="1" applyBorder="1" applyAlignment="1">
      <alignment horizontal="right"/>
    </xf>
    <xf numFmtId="0" fontId="0" fillId="0" borderId="0" xfId="0" applyFill="1" applyAlignment="1" applyProtection="1">
      <alignment horizontal="center"/>
      <protection locked="0"/>
    </xf>
    <xf numFmtId="0" fontId="65" fillId="8" borderId="71" xfId="0" applyFont="1" applyFill="1" applyBorder="1" applyAlignment="1" applyProtection="1">
      <alignment horizontal="center"/>
      <protection locked="0"/>
    </xf>
    <xf numFmtId="0" fontId="20" fillId="0" borderId="0" xfId="0" applyFont="1" applyFill="1" applyBorder="1" applyAlignment="1">
      <alignment horizontal="right"/>
    </xf>
    <xf numFmtId="0" fontId="1" fillId="0" borderId="0" xfId="0" applyFont="1" applyFill="1" applyBorder="1" applyAlignment="1">
      <alignment horizontal="right" vertical="center"/>
    </xf>
    <xf numFmtId="0" fontId="1" fillId="0" borderId="0" xfId="0" applyFont="1" applyFill="1" applyBorder="1" applyAlignment="1">
      <alignment vertical="center"/>
    </xf>
    <xf numFmtId="183" fontId="12" fillId="0" borderId="19" xfId="0" applyNumberFormat="1" applyFont="1" applyBorder="1" applyAlignment="1">
      <alignment vertical="center"/>
    </xf>
    <xf numFmtId="178" fontId="12" fillId="0" borderId="19" xfId="0" applyNumberFormat="1" applyFont="1" applyBorder="1" applyAlignment="1">
      <alignment vertical="center"/>
    </xf>
    <xf numFmtId="1" fontId="12" fillId="0" borderId="19" xfId="0" applyNumberFormat="1" applyFont="1" applyBorder="1" applyAlignment="1">
      <alignment vertical="center"/>
    </xf>
    <xf numFmtId="179" fontId="12" fillId="0" borderId="25" xfId="0" applyNumberFormat="1" applyFont="1" applyBorder="1" applyAlignment="1" applyProtection="1">
      <alignment vertical="center"/>
      <protection locked="0"/>
    </xf>
    <xf numFmtId="1" fontId="13" fillId="0" borderId="19" xfId="0" applyNumberFormat="1" applyFont="1" applyBorder="1" applyAlignment="1">
      <alignment horizontal="left" vertical="center"/>
    </xf>
    <xf numFmtId="179" fontId="1" fillId="6" borderId="25" xfId="0" applyNumberFormat="1" applyFont="1" applyFill="1" applyBorder="1" applyAlignment="1" applyProtection="1">
      <alignment vertical="center"/>
      <protection locked="0"/>
    </xf>
    <xf numFmtId="0" fontId="13" fillId="0" borderId="19" xfId="0" applyFont="1" applyBorder="1" applyAlignment="1">
      <alignment horizontal="left" vertical="center"/>
    </xf>
    <xf numFmtId="179" fontId="1" fillId="6" borderId="25" xfId="0" applyNumberFormat="1" applyFont="1" applyFill="1" applyBorder="1" applyAlignment="1" applyProtection="1">
      <alignment/>
      <protection locked="0"/>
    </xf>
    <xf numFmtId="9" fontId="3" fillId="8" borderId="25" xfId="0" applyNumberFormat="1" applyFont="1" applyFill="1" applyBorder="1" applyAlignment="1" applyProtection="1">
      <alignment vertical="center"/>
      <protection locked="0"/>
    </xf>
    <xf numFmtId="9" fontId="1" fillId="0" borderId="1" xfId="0" applyNumberFormat="1" applyFont="1" applyFill="1" applyBorder="1" applyAlignment="1">
      <alignment horizontal="center" vertical="center"/>
    </xf>
    <xf numFmtId="179" fontId="0" fillId="0" borderId="1" xfId="0" applyNumberFormat="1" applyBorder="1" applyAlignment="1">
      <alignment horizontal="right" vertical="center"/>
    </xf>
    <xf numFmtId="1" fontId="0" fillId="0" borderId="1" xfId="0" applyNumberFormat="1" applyBorder="1" applyAlignment="1" applyProtection="1">
      <alignment horizontal="left" vertical="center"/>
      <protection hidden="1" locked="0"/>
    </xf>
    <xf numFmtId="0" fontId="0" fillId="0" borderId="27" xfId="0" applyFill="1" applyBorder="1" applyAlignment="1">
      <alignment horizontal="center"/>
    </xf>
    <xf numFmtId="10" fontId="0" fillId="0" borderId="1" xfId="0" applyNumberFormat="1" applyFill="1" applyBorder="1" applyAlignment="1" applyProtection="1">
      <alignment horizontal="center"/>
      <protection/>
    </xf>
    <xf numFmtId="174" fontId="1" fillId="0" borderId="1" xfId="0" applyNumberFormat="1" applyFont="1" applyFill="1" applyBorder="1" applyAlignment="1" applyProtection="1">
      <alignment horizontal="center"/>
      <protection locked="0"/>
    </xf>
    <xf numFmtId="3" fontId="0" fillId="0" borderId="1" xfId="0" applyNumberFormat="1" applyBorder="1" applyAlignment="1">
      <alignment vertical="center"/>
    </xf>
    <xf numFmtId="187" fontId="1" fillId="0" borderId="1" xfId="0" applyNumberFormat="1" applyFont="1" applyBorder="1" applyAlignment="1">
      <alignment/>
    </xf>
    <xf numFmtId="0" fontId="10" fillId="0" borderId="1" xfId="0" applyFont="1" applyBorder="1" applyAlignment="1">
      <alignment horizontal="center"/>
    </xf>
    <xf numFmtId="9" fontId="1" fillId="0" borderId="4" xfId="0" applyNumberFormat="1" applyFont="1" applyBorder="1" applyAlignment="1">
      <alignment horizontal="center" vertical="center"/>
    </xf>
    <xf numFmtId="0" fontId="1" fillId="0" borderId="0" xfId="0" applyFont="1" applyAlignment="1">
      <alignment horizontal="center"/>
    </xf>
    <xf numFmtId="0" fontId="1" fillId="8" borderId="1" xfId="0" applyFont="1" applyFill="1" applyBorder="1" applyAlignment="1" applyProtection="1">
      <alignment horizontal="right" vertical="center"/>
      <protection locked="0"/>
    </xf>
    <xf numFmtId="9" fontId="2" fillId="8"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6" xfId="0" applyBorder="1" applyAlignment="1">
      <alignment horizontal="center" vertical="center" wrapText="1"/>
    </xf>
    <xf numFmtId="0" fontId="2" fillId="0" borderId="1" xfId="0" applyFont="1" applyBorder="1" applyAlignment="1">
      <alignment vertical="center"/>
    </xf>
    <xf numFmtId="9" fontId="2" fillId="0" borderId="4" xfId="0" applyNumberFormat="1" applyFont="1" applyBorder="1" applyAlignment="1">
      <alignment horizontal="center" vertical="center"/>
    </xf>
    <xf numFmtId="0" fontId="2" fillId="0" borderId="4" xfId="0" applyFont="1" applyBorder="1" applyAlignment="1" applyProtection="1">
      <alignment horizontal="center" vertical="center"/>
      <protection locked="0"/>
    </xf>
    <xf numFmtId="0" fontId="0" fillId="0" borderId="4" xfId="0" applyBorder="1" applyAlignment="1" applyProtection="1">
      <alignment/>
      <protection locked="0"/>
    </xf>
    <xf numFmtId="187" fontId="1" fillId="0" borderId="1" xfId="0" applyNumberFormat="1" applyFont="1" applyBorder="1" applyAlignment="1">
      <alignment vertical="center"/>
    </xf>
    <xf numFmtId="188" fontId="1" fillId="0" borderId="1" xfId="0" applyNumberFormat="1" applyFont="1" applyBorder="1" applyAlignment="1">
      <alignment/>
    </xf>
    <xf numFmtId="188" fontId="1" fillId="0" borderId="0" xfId="0" applyNumberFormat="1" applyFont="1" applyAlignment="1">
      <alignment/>
    </xf>
    <xf numFmtId="0" fontId="1" fillId="0" borderId="1" xfId="0" applyFont="1" applyBorder="1" applyAlignment="1">
      <alignment horizontal="center" wrapText="1"/>
    </xf>
    <xf numFmtId="188" fontId="1" fillId="0" borderId="1" xfId="0" applyNumberFormat="1" applyFont="1" applyBorder="1" applyAlignment="1">
      <alignment horizontal="center"/>
    </xf>
    <xf numFmtId="188" fontId="2" fillId="0" borderId="5" xfId="0" applyNumberFormat="1" applyFont="1" applyBorder="1" applyAlignment="1">
      <alignment/>
    </xf>
    <xf numFmtId="188" fontId="1" fillId="0" borderId="0" xfId="0" applyNumberFormat="1" applyFont="1" applyBorder="1" applyAlignment="1">
      <alignment/>
    </xf>
    <xf numFmtId="188" fontId="0" fillId="0" borderId="1" xfId="0" applyNumberFormat="1" applyBorder="1" applyAlignment="1">
      <alignment horizontal="center"/>
    </xf>
    <xf numFmtId="0" fontId="12" fillId="0" borderId="72" xfId="0" applyFont="1" applyBorder="1" applyAlignment="1">
      <alignment horizontal="center" vertical="center"/>
    </xf>
    <xf numFmtId="179" fontId="12" fillId="0" borderId="46" xfId="0" applyNumberFormat="1" applyFont="1" applyBorder="1" applyAlignment="1">
      <alignment horizontal="center" vertical="center"/>
    </xf>
    <xf numFmtId="0" fontId="0" fillId="0" borderId="73" xfId="0" applyBorder="1" applyAlignment="1">
      <alignment/>
    </xf>
    <xf numFmtId="0" fontId="2" fillId="8" borderId="1" xfId="0" applyFont="1" applyFill="1" applyBorder="1" applyAlignment="1" applyProtection="1">
      <alignment horizontal="center" vertical="center"/>
      <protection locked="0"/>
    </xf>
    <xf numFmtId="0" fontId="72" fillId="5" borderId="0" xfId="0" applyFont="1" applyFill="1" applyBorder="1" applyAlignment="1">
      <alignment/>
    </xf>
    <xf numFmtId="0" fontId="0" fillId="9" borderId="74" xfId="0" applyFill="1" applyBorder="1" applyAlignment="1">
      <alignment/>
    </xf>
    <xf numFmtId="0" fontId="0" fillId="9" borderId="0" xfId="0" applyFill="1" applyBorder="1" applyAlignment="1">
      <alignment/>
    </xf>
    <xf numFmtId="0" fontId="0" fillId="9" borderId="75" xfId="0" applyFill="1" applyBorder="1" applyAlignment="1">
      <alignment/>
    </xf>
    <xf numFmtId="0" fontId="0" fillId="9" borderId="76" xfId="0" applyFill="1" applyBorder="1" applyAlignment="1">
      <alignment/>
    </xf>
    <xf numFmtId="0" fontId="0" fillId="9" borderId="16" xfId="0" applyFill="1" applyBorder="1" applyAlignment="1">
      <alignment/>
    </xf>
    <xf numFmtId="0" fontId="0" fillId="9" borderId="77" xfId="0" applyFill="1" applyBorder="1" applyAlignment="1">
      <alignment/>
    </xf>
    <xf numFmtId="0" fontId="0" fillId="9" borderId="78" xfId="0" applyFill="1" applyBorder="1" applyAlignment="1">
      <alignment/>
    </xf>
    <xf numFmtId="0" fontId="0" fillId="9" borderId="79" xfId="0" applyFill="1" applyBorder="1" applyAlignment="1">
      <alignment/>
    </xf>
    <xf numFmtId="0" fontId="0" fillId="9" borderId="80" xfId="0" applyFill="1" applyBorder="1" applyAlignment="1">
      <alignment/>
    </xf>
    <xf numFmtId="0" fontId="73" fillId="5" borderId="0" xfId="0" applyFont="1" applyFill="1" applyAlignment="1">
      <alignment/>
    </xf>
    <xf numFmtId="0" fontId="65" fillId="5" borderId="0" xfId="0" applyFont="1" applyFill="1" applyAlignment="1">
      <alignment/>
    </xf>
    <xf numFmtId="0" fontId="35" fillId="5" borderId="0" xfId="0" applyFont="1" applyFill="1" applyAlignment="1">
      <alignment/>
    </xf>
    <xf numFmtId="0" fontId="73" fillId="5" borderId="0" xfId="0" applyFont="1" applyFill="1" applyAlignment="1">
      <alignment vertical="center"/>
    </xf>
    <xf numFmtId="0" fontId="1" fillId="5" borderId="0" xfId="0" applyFont="1" applyFill="1" applyAlignment="1">
      <alignment/>
    </xf>
    <xf numFmtId="0" fontId="0" fillId="5" borderId="0" xfId="0" applyFill="1" applyAlignment="1">
      <alignment horizontal="center"/>
    </xf>
    <xf numFmtId="0" fontId="59" fillId="5" borderId="0" xfId="20" applyFill="1" applyAlignment="1">
      <alignment/>
    </xf>
    <xf numFmtId="0" fontId="2" fillId="5" borderId="0" xfId="0" applyFont="1" applyFill="1" applyAlignment="1">
      <alignment horizontal="center"/>
    </xf>
    <xf numFmtId="0" fontId="0" fillId="6" borderId="1" xfId="0" applyFill="1" applyBorder="1" applyAlignment="1">
      <alignment/>
    </xf>
    <xf numFmtId="0" fontId="0" fillId="8" borderId="1" xfId="0" applyFill="1" applyBorder="1" applyAlignment="1">
      <alignment/>
    </xf>
    <xf numFmtId="0" fontId="0" fillId="10" borderId="1" xfId="0" applyFill="1" applyBorder="1" applyAlignment="1">
      <alignment/>
    </xf>
    <xf numFmtId="3" fontId="0" fillId="11" borderId="1" xfId="0" applyNumberFormat="1" applyFill="1" applyBorder="1" applyAlignment="1" applyProtection="1">
      <alignment horizontal="center"/>
      <protection locked="0"/>
    </xf>
    <xf numFmtId="3" fontId="0" fillId="11" borderId="1" xfId="0" applyNumberFormat="1" applyFill="1" applyBorder="1" applyAlignment="1" applyProtection="1">
      <alignment/>
      <protection locked="0"/>
    </xf>
    <xf numFmtId="179" fontId="0" fillId="11" borderId="1" xfId="0" applyNumberFormat="1" applyFill="1" applyBorder="1" applyAlignment="1" applyProtection="1">
      <alignment/>
      <protection locked="0"/>
    </xf>
    <xf numFmtId="178" fontId="12" fillId="6" borderId="46" xfId="0" applyNumberFormat="1" applyFont="1" applyFill="1" applyBorder="1" applyAlignment="1" applyProtection="1">
      <alignment horizontal="center" vertical="center"/>
      <protection locked="0"/>
    </xf>
    <xf numFmtId="179" fontId="12" fillId="6" borderId="46" xfId="0" applyNumberFormat="1" applyFont="1" applyFill="1" applyBorder="1" applyAlignment="1" applyProtection="1">
      <alignment horizontal="center" vertical="center"/>
      <protection locked="0"/>
    </xf>
    <xf numFmtId="178" fontId="12" fillId="0" borderId="48" xfId="0" applyNumberFormat="1" applyFont="1" applyFill="1" applyBorder="1" applyAlignment="1" applyProtection="1">
      <alignment vertical="center"/>
      <protection locked="0"/>
    </xf>
    <xf numFmtId="0" fontId="0" fillId="0" borderId="66" xfId="0" applyBorder="1" applyAlignment="1">
      <alignment/>
    </xf>
    <xf numFmtId="9" fontId="70" fillId="0" borderId="71" xfId="0" applyNumberFormat="1" applyFont="1" applyBorder="1" applyAlignment="1">
      <alignment horizontal="center" vertical="center"/>
    </xf>
    <xf numFmtId="0" fontId="1" fillId="5" borderId="0" xfId="0" applyFont="1" applyFill="1" applyBorder="1" applyAlignment="1">
      <alignment/>
    </xf>
    <xf numFmtId="0" fontId="18" fillId="5" borderId="0" xfId="0" applyFont="1" applyFill="1" applyAlignment="1">
      <alignment horizontal="center"/>
    </xf>
    <xf numFmtId="0" fontId="1" fillId="5" borderId="0" xfId="0" applyFont="1" applyFill="1" applyBorder="1" applyAlignment="1">
      <alignment horizontal="left"/>
    </xf>
    <xf numFmtId="0" fontId="77" fillId="5" borderId="0" xfId="0" applyFont="1" applyFill="1" applyBorder="1" applyAlignment="1">
      <alignment/>
    </xf>
    <xf numFmtId="0" fontId="77" fillId="0" borderId="0" xfId="0" applyFont="1" applyBorder="1" applyAlignment="1">
      <alignment/>
    </xf>
    <xf numFmtId="0" fontId="1" fillId="0" borderId="81" xfId="0" applyFont="1" applyBorder="1" applyAlignment="1">
      <alignment/>
    </xf>
    <xf numFmtId="0" fontId="2" fillId="0" borderId="82" xfId="0" applyFont="1" applyBorder="1" applyAlignment="1">
      <alignment horizontal="left"/>
    </xf>
    <xf numFmtId="0" fontId="2" fillId="0" borderId="83" xfId="0" applyFont="1" applyBorder="1" applyAlignment="1">
      <alignment/>
    </xf>
    <xf numFmtId="3" fontId="2" fillId="0" borderId="83" xfId="0" applyNumberFormat="1" applyFont="1" applyBorder="1" applyAlignment="1">
      <alignment/>
    </xf>
    <xf numFmtId="0" fontId="2" fillId="0" borderId="84" xfId="0" applyFont="1" applyBorder="1" applyAlignment="1">
      <alignment/>
    </xf>
    <xf numFmtId="0" fontId="1" fillId="0" borderId="83" xfId="0" applyFont="1" applyBorder="1" applyAlignment="1">
      <alignment/>
    </xf>
    <xf numFmtId="1" fontId="2" fillId="0" borderId="83" xfId="0" applyNumberFormat="1" applyFont="1" applyBorder="1" applyAlignment="1">
      <alignment/>
    </xf>
    <xf numFmtId="0" fontId="1" fillId="0" borderId="39" xfId="0" applyFont="1" applyBorder="1" applyAlignment="1">
      <alignment horizontal="left"/>
    </xf>
    <xf numFmtId="0" fontId="1" fillId="0" borderId="40" xfId="0" applyFont="1" applyBorder="1" applyAlignment="1">
      <alignment/>
    </xf>
    <xf numFmtId="0" fontId="1" fillId="0" borderId="43" xfId="0" applyFont="1" applyBorder="1" applyAlignment="1">
      <alignment horizontal="left"/>
    </xf>
    <xf numFmtId="0" fontId="1" fillId="0" borderId="85" xfId="0" applyFont="1" applyBorder="1" applyAlignment="1">
      <alignment/>
    </xf>
    <xf numFmtId="0" fontId="1" fillId="0" borderId="44" xfId="0" applyFont="1" applyBorder="1" applyAlignment="1">
      <alignment/>
    </xf>
    <xf numFmtId="0" fontId="18" fillId="0" borderId="0" xfId="0" applyFont="1" applyAlignment="1">
      <alignment/>
    </xf>
    <xf numFmtId="0" fontId="22" fillId="0" borderId="0" xfId="0" applyFont="1" applyAlignment="1">
      <alignment/>
    </xf>
    <xf numFmtId="0" fontId="18" fillId="0" borderId="0" xfId="0" applyFont="1" applyAlignment="1">
      <alignment horizontal="right"/>
    </xf>
    <xf numFmtId="0" fontId="22" fillId="0" borderId="0" xfId="0" applyFont="1" applyAlignment="1">
      <alignment horizontal="right"/>
    </xf>
    <xf numFmtId="0" fontId="1" fillId="0" borderId="5" xfId="0" applyFont="1" applyBorder="1" applyAlignment="1">
      <alignment horizontal="center" vertical="center" wrapText="1"/>
    </xf>
    <xf numFmtId="0" fontId="23" fillId="0" borderId="0" xfId="0" applyFont="1" applyAlignment="1">
      <alignment horizontal="right"/>
    </xf>
    <xf numFmtId="0" fontId="0" fillId="0" borderId="81" xfId="0" applyBorder="1" applyAlignment="1">
      <alignment/>
    </xf>
    <xf numFmtId="3" fontId="23" fillId="0" borderId="0" xfId="0" applyNumberFormat="1" applyFont="1" applyAlignment="1">
      <alignment horizontal="right"/>
    </xf>
    <xf numFmtId="0" fontId="78" fillId="0" borderId="0" xfId="0" applyFont="1" applyAlignment="1">
      <alignment/>
    </xf>
    <xf numFmtId="0" fontId="23" fillId="0" borderId="0" xfId="0" applyFont="1" applyAlignment="1" quotePrefix="1">
      <alignment/>
    </xf>
    <xf numFmtId="0" fontId="79" fillId="0" borderId="0" xfId="0" applyFont="1" applyAlignment="1">
      <alignment/>
    </xf>
    <xf numFmtId="179" fontId="79" fillId="0" borderId="0" xfId="0" applyNumberFormat="1" applyFont="1" applyAlignment="1">
      <alignment horizontal="right"/>
    </xf>
    <xf numFmtId="3" fontId="18" fillId="0" borderId="0" xfId="0" applyNumberFormat="1" applyFont="1" applyAlignment="1">
      <alignment horizontal="right"/>
    </xf>
    <xf numFmtId="0" fontId="21" fillId="0" borderId="0" xfId="0" applyFont="1" applyAlignment="1">
      <alignment/>
    </xf>
    <xf numFmtId="0" fontId="80" fillId="0" borderId="0" xfId="0" applyFont="1" applyAlignment="1">
      <alignment horizontal="right"/>
    </xf>
    <xf numFmtId="178" fontId="23" fillId="0" borderId="0" xfId="0" applyNumberFormat="1" applyFont="1" applyAlignment="1">
      <alignment horizontal="right"/>
    </xf>
    <xf numFmtId="183" fontId="23" fillId="0" borderId="0" xfId="0" applyNumberFormat="1" applyFont="1" applyAlignment="1">
      <alignment/>
    </xf>
    <xf numFmtId="9" fontId="23" fillId="0" borderId="0" xfId="0" applyNumberFormat="1" applyFont="1" applyAlignment="1">
      <alignment horizontal="right"/>
    </xf>
    <xf numFmtId="192" fontId="23" fillId="0" borderId="0" xfId="0" applyNumberFormat="1" applyFont="1" applyAlignment="1">
      <alignment horizontal="right"/>
    </xf>
    <xf numFmtId="10" fontId="23" fillId="0" borderId="0" xfId="0" applyNumberFormat="1" applyFont="1" applyAlignment="1">
      <alignment horizontal="right"/>
    </xf>
    <xf numFmtId="0" fontId="5" fillId="0" borderId="0" xfId="0" applyFont="1" applyAlignment="1">
      <alignment/>
    </xf>
    <xf numFmtId="179" fontId="22" fillId="0" borderId="0" xfId="0" applyNumberFormat="1" applyFont="1" applyAlignment="1">
      <alignment horizontal="right"/>
    </xf>
    <xf numFmtId="4" fontId="18" fillId="0" borderId="0" xfId="0" applyNumberFormat="1" applyFont="1" applyAlignment="1">
      <alignment horizontal="right"/>
    </xf>
    <xf numFmtId="0" fontId="18" fillId="0" borderId="0" xfId="0" applyFont="1" applyBorder="1" applyAlignment="1">
      <alignment horizontal="right"/>
    </xf>
    <xf numFmtId="0" fontId="65" fillId="5" borderId="0" xfId="0" applyFont="1" applyFill="1" applyBorder="1" applyAlignment="1">
      <alignment/>
    </xf>
    <xf numFmtId="0" fontId="65" fillId="0" borderId="0" xfId="0" applyFont="1" applyBorder="1" applyAlignment="1">
      <alignment/>
    </xf>
    <xf numFmtId="0" fontId="2" fillId="0" borderId="82" xfId="0" applyFont="1" applyBorder="1" applyAlignment="1">
      <alignment/>
    </xf>
    <xf numFmtId="0" fontId="25" fillId="0" borderId="83" xfId="0" applyFont="1" applyBorder="1" applyAlignment="1">
      <alignment/>
    </xf>
    <xf numFmtId="0" fontId="2" fillId="0" borderId="81" xfId="0" applyFont="1" applyBorder="1" applyAlignment="1">
      <alignment/>
    </xf>
    <xf numFmtId="0" fontId="25" fillId="0" borderId="81" xfId="0" applyFont="1" applyBorder="1" applyAlignment="1">
      <alignment/>
    </xf>
    <xf numFmtId="0" fontId="1" fillId="0" borderId="39" xfId="0" applyFont="1" applyBorder="1" applyAlignment="1">
      <alignment/>
    </xf>
    <xf numFmtId="0" fontId="0" fillId="0" borderId="85" xfId="0" applyBorder="1" applyAlignment="1">
      <alignment/>
    </xf>
    <xf numFmtId="0" fontId="1" fillId="0" borderId="0" xfId="0" applyFont="1" applyBorder="1" applyAlignment="1">
      <alignment horizontal="right"/>
    </xf>
    <xf numFmtId="0" fontId="0" fillId="0" borderId="0" xfId="0" applyFont="1" applyBorder="1" applyAlignment="1">
      <alignment/>
    </xf>
    <xf numFmtId="3" fontId="0" fillId="0" borderId="0" xfId="0" applyNumberFormat="1" applyBorder="1" applyAlignment="1">
      <alignment horizontal="right"/>
    </xf>
    <xf numFmtId="3" fontId="0" fillId="0" borderId="0" xfId="0" applyNumberFormat="1" applyFont="1" applyBorder="1" applyAlignment="1">
      <alignment/>
    </xf>
    <xf numFmtId="0" fontId="0" fillId="0" borderId="0" xfId="0" applyFont="1" applyBorder="1" applyAlignment="1">
      <alignment horizontal="right"/>
    </xf>
    <xf numFmtId="3" fontId="0" fillId="0" borderId="0" xfId="0" applyNumberFormat="1" applyFont="1" applyBorder="1" applyAlignment="1">
      <alignment horizontal="right"/>
    </xf>
    <xf numFmtId="3" fontId="23" fillId="0" borderId="0" xfId="0" applyNumberFormat="1" applyFont="1" applyBorder="1" applyAlignment="1">
      <alignment/>
    </xf>
    <xf numFmtId="0" fontId="23" fillId="0" borderId="0" xfId="0" applyFont="1" applyBorder="1" applyAlignment="1">
      <alignment horizontal="right"/>
    </xf>
    <xf numFmtId="0" fontId="23" fillId="0" borderId="81" xfId="0" applyFont="1" applyBorder="1" applyAlignment="1">
      <alignment/>
    </xf>
    <xf numFmtId="3" fontId="23" fillId="0" borderId="0" xfId="0" applyNumberFormat="1" applyFont="1" applyBorder="1" applyAlignment="1">
      <alignment horizontal="right"/>
    </xf>
    <xf numFmtId="0" fontId="23" fillId="0" borderId="0" xfId="0" applyFont="1" applyBorder="1" applyAlignment="1">
      <alignment horizontal="left"/>
    </xf>
    <xf numFmtId="0" fontId="0" fillId="0" borderId="81" xfId="0" applyFont="1" applyBorder="1" applyAlignment="1">
      <alignment/>
    </xf>
    <xf numFmtId="0" fontId="35" fillId="0" borderId="0" xfId="0" applyFont="1" applyAlignment="1">
      <alignment/>
    </xf>
    <xf numFmtId="0" fontId="18" fillId="0" borderId="0" xfId="0" applyFont="1" applyBorder="1" applyAlignment="1">
      <alignment/>
    </xf>
    <xf numFmtId="179" fontId="35" fillId="0" borderId="0" xfId="0" applyNumberFormat="1" applyFont="1" applyAlignment="1">
      <alignment horizontal="right"/>
    </xf>
    <xf numFmtId="0" fontId="18" fillId="0" borderId="81" xfId="0" applyFont="1" applyBorder="1" applyAlignment="1">
      <alignment/>
    </xf>
    <xf numFmtId="3" fontId="1" fillId="0" borderId="0" xfId="0" applyNumberFormat="1" applyFont="1" applyBorder="1" applyAlignment="1">
      <alignment horizontal="right"/>
    </xf>
    <xf numFmtId="0" fontId="2" fillId="0" borderId="0" xfId="0" applyFont="1" applyAlignment="1">
      <alignment horizontal="right"/>
    </xf>
    <xf numFmtId="0" fontId="1" fillId="0" borderId="0" xfId="0" applyFont="1" applyAlignment="1">
      <alignment horizontal="right"/>
    </xf>
    <xf numFmtId="0" fontId="20" fillId="0" borderId="0" xfId="0" applyFont="1" applyAlignment="1">
      <alignment horizontal="right"/>
    </xf>
    <xf numFmtId="167" fontId="23" fillId="0" borderId="0" xfId="0" applyNumberFormat="1" applyFont="1" applyBorder="1" applyAlignment="1">
      <alignment horizontal="right"/>
    </xf>
    <xf numFmtId="167" fontId="0" fillId="0" borderId="0" xfId="0" applyNumberFormat="1" applyFont="1" applyBorder="1" applyAlignment="1">
      <alignment horizontal="right"/>
    </xf>
    <xf numFmtId="197" fontId="23" fillId="0" borderId="0" xfId="0" applyNumberFormat="1" applyFont="1" applyBorder="1" applyAlignment="1">
      <alignment horizontal="right"/>
    </xf>
    <xf numFmtId="197" fontId="0" fillId="0" borderId="0" xfId="0" applyNumberFormat="1" applyFont="1" applyBorder="1" applyAlignment="1">
      <alignment horizontal="right"/>
    </xf>
    <xf numFmtId="0" fontId="82" fillId="0" borderId="0" xfId="0" applyFont="1" applyBorder="1" applyAlignment="1">
      <alignment/>
    </xf>
    <xf numFmtId="1" fontId="23" fillId="0" borderId="0" xfId="0" applyNumberFormat="1" applyFont="1" applyBorder="1" applyAlignment="1">
      <alignment horizontal="right"/>
    </xf>
    <xf numFmtId="165" fontId="23" fillId="0" borderId="0" xfId="0" applyNumberFormat="1" applyFont="1" applyBorder="1" applyAlignment="1">
      <alignment horizontal="right"/>
    </xf>
    <xf numFmtId="0" fontId="5" fillId="0" borderId="0" xfId="0" applyFont="1" applyBorder="1" applyAlignment="1">
      <alignment/>
    </xf>
    <xf numFmtId="1" fontId="0" fillId="0" borderId="0" xfId="0" applyNumberFormat="1" applyFont="1" applyBorder="1" applyAlignment="1">
      <alignment horizontal="right"/>
    </xf>
    <xf numFmtId="165" fontId="0" fillId="0" borderId="0" xfId="0" applyNumberFormat="1" applyFont="1" applyBorder="1" applyAlignment="1">
      <alignment horizontal="right"/>
    </xf>
    <xf numFmtId="9" fontId="23" fillId="0" borderId="0" xfId="0" applyNumberFormat="1" applyFont="1" applyBorder="1" applyAlignment="1">
      <alignment horizontal="right"/>
    </xf>
    <xf numFmtId="9" fontId="0" fillId="0" borderId="0" xfId="0" applyNumberFormat="1" applyFont="1" applyBorder="1" applyAlignment="1">
      <alignment horizontal="right"/>
    </xf>
    <xf numFmtId="9" fontId="23" fillId="0" borderId="0" xfId="0" applyNumberFormat="1" applyFont="1" applyBorder="1" applyAlignment="1">
      <alignment/>
    </xf>
    <xf numFmtId="9" fontId="0" fillId="0" borderId="0" xfId="0" applyNumberFormat="1" applyFont="1" applyBorder="1" applyAlignment="1">
      <alignment/>
    </xf>
    <xf numFmtId="0" fontId="83" fillId="0" borderId="0" xfId="0" applyFont="1" applyBorder="1" applyAlignment="1">
      <alignment/>
    </xf>
    <xf numFmtId="178" fontId="23" fillId="0" borderId="0" xfId="0" applyNumberFormat="1" applyFont="1" applyBorder="1" applyAlignment="1">
      <alignment horizontal="right"/>
    </xf>
    <xf numFmtId="178" fontId="0" fillId="0" borderId="0" xfId="0" applyNumberFormat="1" applyFont="1" applyBorder="1" applyAlignment="1">
      <alignment horizontal="right"/>
    </xf>
    <xf numFmtId="2" fontId="23" fillId="0" borderId="0" xfId="0" applyNumberFormat="1" applyFont="1" applyBorder="1" applyAlignment="1">
      <alignment horizontal="right"/>
    </xf>
    <xf numFmtId="2" fontId="0" fillId="0" borderId="0" xfId="0" applyNumberFormat="1" applyFont="1" applyBorder="1" applyAlignment="1">
      <alignment horizontal="right"/>
    </xf>
    <xf numFmtId="10" fontId="23" fillId="0" borderId="0" xfId="0" applyNumberFormat="1" applyFont="1" applyBorder="1" applyAlignment="1">
      <alignment horizontal="right"/>
    </xf>
    <xf numFmtId="10" fontId="0" fillId="0" borderId="0" xfId="0" applyNumberFormat="1" applyFont="1" applyBorder="1" applyAlignment="1">
      <alignment horizontal="right"/>
    </xf>
    <xf numFmtId="179" fontId="18" fillId="0" borderId="0" xfId="0" applyNumberFormat="1" applyFont="1" applyAlignment="1">
      <alignment horizontal="right"/>
    </xf>
    <xf numFmtId="2" fontId="18" fillId="0" borderId="0" xfId="0" applyNumberFormat="1" applyFont="1" applyBorder="1" applyAlignment="1">
      <alignment horizontal="right"/>
    </xf>
    <xf numFmtId="2" fontId="1" fillId="0" borderId="0" xfId="0" applyNumberFormat="1" applyFont="1" applyBorder="1" applyAlignment="1">
      <alignment horizontal="right"/>
    </xf>
    <xf numFmtId="0" fontId="0" fillId="0" borderId="0" xfId="0" applyFont="1" applyAlignment="1">
      <alignment horizontal="right"/>
    </xf>
    <xf numFmtId="0" fontId="81" fillId="0" borderId="0" xfId="0" applyFont="1" applyBorder="1" applyAlignment="1">
      <alignment/>
    </xf>
    <xf numFmtId="0" fontId="22" fillId="0" borderId="82" xfId="0" applyFont="1" applyBorder="1" applyAlignment="1">
      <alignment/>
    </xf>
    <xf numFmtId="3" fontId="22" fillId="0" borderId="83" xfId="0" applyNumberFormat="1" applyFont="1" applyBorder="1" applyAlignment="1">
      <alignment/>
    </xf>
    <xf numFmtId="0" fontId="22" fillId="0" borderId="84" xfId="0" applyFont="1" applyBorder="1" applyAlignment="1">
      <alignment/>
    </xf>
    <xf numFmtId="0" fontId="0" fillId="0" borderId="0" xfId="0" applyFont="1" applyAlignment="1">
      <alignment/>
    </xf>
    <xf numFmtId="0" fontId="18" fillId="0" borderId="39" xfId="0" applyFont="1" applyBorder="1" applyAlignment="1">
      <alignment/>
    </xf>
    <xf numFmtId="3" fontId="18" fillId="0" borderId="0" xfId="0" applyNumberFormat="1" applyFont="1" applyBorder="1" applyAlignment="1">
      <alignment/>
    </xf>
    <xf numFmtId="0" fontId="18" fillId="0" borderId="40" xfId="0" applyFont="1" applyBorder="1" applyAlignment="1">
      <alignment/>
    </xf>
    <xf numFmtId="0" fontId="18" fillId="0" borderId="43" xfId="0" applyFont="1" applyBorder="1" applyAlignment="1">
      <alignment horizontal="center"/>
    </xf>
    <xf numFmtId="0" fontId="18" fillId="0" borderId="85" xfId="0" applyFont="1" applyBorder="1" applyAlignment="1">
      <alignment/>
    </xf>
    <xf numFmtId="0" fontId="18" fillId="0" borderId="44" xfId="0" applyFont="1" applyBorder="1" applyAlignment="1">
      <alignment/>
    </xf>
    <xf numFmtId="0" fontId="1" fillId="0" borderId="43" xfId="0" applyFont="1" applyBorder="1" applyAlignment="1">
      <alignment horizontal="center"/>
    </xf>
    <xf numFmtId="3" fontId="0" fillId="0" borderId="0" xfId="0" applyNumberForma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3" fontId="35" fillId="0" borderId="0" xfId="0" applyNumberFormat="1" applyFont="1" applyAlignment="1">
      <alignment horizontal="right"/>
    </xf>
    <xf numFmtId="167" fontId="23" fillId="0" borderId="0" xfId="0" applyNumberFormat="1" applyFont="1" applyAlignment="1">
      <alignment horizontal="right"/>
    </xf>
    <xf numFmtId="167" fontId="0" fillId="0" borderId="0" xfId="0" applyNumberFormat="1" applyAlignment="1">
      <alignment horizontal="right"/>
    </xf>
    <xf numFmtId="167" fontId="0" fillId="0" borderId="0" xfId="0" applyNumberFormat="1" applyFont="1" applyAlignment="1">
      <alignment horizontal="right"/>
    </xf>
    <xf numFmtId="197" fontId="23" fillId="0" borderId="0" xfId="0" applyNumberFormat="1" applyFont="1" applyAlignment="1">
      <alignment horizontal="right"/>
    </xf>
    <xf numFmtId="197" fontId="0" fillId="0" borderId="0" xfId="0" applyNumberFormat="1" applyAlignment="1">
      <alignment horizontal="right"/>
    </xf>
    <xf numFmtId="197" fontId="0" fillId="0" borderId="0" xfId="0" applyNumberFormat="1" applyFont="1" applyAlignment="1">
      <alignment horizontal="right"/>
    </xf>
    <xf numFmtId="9" fontId="0" fillId="0" borderId="0" xfId="0" applyNumberFormat="1" applyFont="1" applyAlignment="1">
      <alignment horizontal="right"/>
    </xf>
    <xf numFmtId="178" fontId="0" fillId="0" borderId="0" xfId="0" applyNumberFormat="1" applyAlignment="1">
      <alignment horizontal="right"/>
    </xf>
    <xf numFmtId="178" fontId="0" fillId="0" borderId="0" xfId="0" applyNumberFormat="1" applyFont="1" applyAlignment="1">
      <alignment horizontal="right"/>
    </xf>
    <xf numFmtId="2" fontId="0" fillId="0" borderId="0" xfId="0" applyNumberFormat="1" applyFont="1" applyAlignment="1">
      <alignment horizontal="right"/>
    </xf>
    <xf numFmtId="10" fontId="0" fillId="0" borderId="0" xfId="0" applyNumberFormat="1" applyFont="1" applyAlignment="1">
      <alignment horizontal="right"/>
    </xf>
    <xf numFmtId="2" fontId="1" fillId="0" borderId="0" xfId="0" applyNumberFormat="1" applyFont="1" applyAlignment="1">
      <alignment horizontal="right"/>
    </xf>
    <xf numFmtId="0" fontId="35" fillId="0" borderId="0" xfId="0" applyFont="1" applyAlignment="1">
      <alignment horizontal="right"/>
    </xf>
    <xf numFmtId="0" fontId="0" fillId="5" borderId="86" xfId="0" applyFill="1" applyBorder="1" applyAlignment="1">
      <alignment/>
    </xf>
    <xf numFmtId="0" fontId="0" fillId="5" borderId="87" xfId="0" applyFill="1" applyBorder="1" applyAlignment="1">
      <alignment/>
    </xf>
    <xf numFmtId="0" fontId="0" fillId="5" borderId="88" xfId="0" applyFill="1" applyBorder="1" applyAlignment="1">
      <alignment/>
    </xf>
    <xf numFmtId="0" fontId="65" fillId="5" borderId="14" xfId="0" applyFont="1" applyFill="1" applyBorder="1" applyAlignment="1">
      <alignment horizontal="center"/>
    </xf>
    <xf numFmtId="0" fontId="65" fillId="5" borderId="0" xfId="0" applyFont="1" applyFill="1" applyBorder="1" applyAlignment="1">
      <alignment horizontal="center"/>
    </xf>
    <xf numFmtId="0" fontId="0" fillId="5" borderId="75" xfId="0" applyFill="1" applyBorder="1" applyAlignment="1">
      <alignment/>
    </xf>
    <xf numFmtId="0" fontId="1" fillId="5" borderId="14" xfId="0" applyFont="1" applyFill="1" applyBorder="1" applyAlignment="1">
      <alignment/>
    </xf>
    <xf numFmtId="2" fontId="0" fillId="5" borderId="0" xfId="0" applyNumberFormat="1" applyFill="1" applyBorder="1" applyAlignment="1">
      <alignment/>
    </xf>
    <xf numFmtId="0" fontId="85" fillId="5" borderId="14" xfId="0" applyFont="1" applyFill="1" applyBorder="1" applyAlignment="1">
      <alignment/>
    </xf>
    <xf numFmtId="0" fontId="0" fillId="5" borderId="14" xfId="0" applyFill="1" applyBorder="1" applyAlignment="1">
      <alignment/>
    </xf>
    <xf numFmtId="0" fontId="83" fillId="5" borderId="0" xfId="0" applyFont="1" applyFill="1" applyBorder="1" applyAlignment="1">
      <alignment/>
    </xf>
    <xf numFmtId="4" fontId="0" fillId="5" borderId="0" xfId="0" applyNumberFormat="1" applyFill="1" applyBorder="1" applyAlignment="1">
      <alignment/>
    </xf>
    <xf numFmtId="0" fontId="0" fillId="5" borderId="15" xfId="0" applyFill="1" applyBorder="1" applyAlignment="1">
      <alignment/>
    </xf>
    <xf numFmtId="0" fontId="0" fillId="5" borderId="16" xfId="0" applyFill="1" applyBorder="1" applyAlignment="1">
      <alignment/>
    </xf>
    <xf numFmtId="0" fontId="0" fillId="5" borderId="77" xfId="0" applyFill="1" applyBorder="1" applyAlignment="1">
      <alignment/>
    </xf>
    <xf numFmtId="184" fontId="1" fillId="12" borderId="1" xfId="0" applyNumberFormat="1" applyFont="1" applyFill="1" applyBorder="1" applyAlignment="1">
      <alignment/>
    </xf>
    <xf numFmtId="4" fontId="1" fillId="13" borderId="1" xfId="0" applyNumberFormat="1" applyFont="1" applyFill="1" applyBorder="1" applyAlignment="1">
      <alignment/>
    </xf>
    <xf numFmtId="184" fontId="1" fillId="12" borderId="3" xfId="0" applyNumberFormat="1" applyFont="1" applyFill="1" applyBorder="1" applyAlignment="1">
      <alignment/>
    </xf>
    <xf numFmtId="0" fontId="2" fillId="0" borderId="70" xfId="0" applyFont="1" applyBorder="1" applyAlignment="1">
      <alignment horizontal="center"/>
    </xf>
    <xf numFmtId="0" fontId="2" fillId="5" borderId="0" xfId="0" applyFont="1" applyFill="1" applyBorder="1" applyAlignment="1">
      <alignment horizontal="center" vertical="center"/>
    </xf>
    <xf numFmtId="0" fontId="13" fillId="0" borderId="19" xfId="0" applyFont="1" applyBorder="1" applyAlignment="1" applyProtection="1">
      <alignment horizontal="left" vertical="center"/>
      <protection locked="0"/>
    </xf>
    <xf numFmtId="0" fontId="0" fillId="0" borderId="85" xfId="0" applyFill="1" applyBorder="1" applyAlignment="1">
      <alignment/>
    </xf>
    <xf numFmtId="0" fontId="1" fillId="0" borderId="1" xfId="0" applyFont="1" applyFill="1" applyBorder="1" applyAlignment="1">
      <alignment horizontal="center" vertical="center" wrapText="1"/>
    </xf>
    <xf numFmtId="0" fontId="20" fillId="0" borderId="2" xfId="0" applyFont="1" applyBorder="1" applyAlignment="1">
      <alignment horizontal="right"/>
    </xf>
    <xf numFmtId="0" fontId="1" fillId="0" borderId="70" xfId="0" applyFont="1" applyBorder="1" applyAlignment="1">
      <alignment horizontal="center"/>
    </xf>
    <xf numFmtId="0" fontId="1" fillId="0" borderId="3" xfId="0" applyFont="1" applyBorder="1" applyAlignment="1">
      <alignment horizontal="center"/>
    </xf>
    <xf numFmtId="0" fontId="1" fillId="0" borderId="27" xfId="0" applyFont="1" applyBorder="1" applyAlignment="1">
      <alignment/>
    </xf>
    <xf numFmtId="0" fontId="98" fillId="0" borderId="2" xfId="0" applyFont="1" applyBorder="1" applyAlignment="1">
      <alignment/>
    </xf>
    <xf numFmtId="0" fontId="0" fillId="0" borderId="70" xfId="0" applyBorder="1" applyAlignment="1">
      <alignment/>
    </xf>
    <xf numFmtId="3" fontId="0" fillId="0" borderId="2" xfId="0" applyNumberFormat="1" applyBorder="1" applyAlignment="1">
      <alignment/>
    </xf>
    <xf numFmtId="3" fontId="0" fillId="0" borderId="2" xfId="0" applyNumberFormat="1" applyFont="1" applyBorder="1" applyAlignment="1">
      <alignment/>
    </xf>
    <xf numFmtId="0" fontId="98" fillId="0" borderId="3" xfId="0" applyFont="1" applyBorder="1" applyAlignment="1">
      <alignment/>
    </xf>
    <xf numFmtId="3" fontId="0" fillId="0" borderId="27" xfId="0" applyNumberFormat="1" applyBorder="1" applyAlignment="1">
      <alignment/>
    </xf>
    <xf numFmtId="3" fontId="0" fillId="0" borderId="69" xfId="0" applyNumberFormat="1" applyBorder="1" applyAlignment="1">
      <alignment/>
    </xf>
    <xf numFmtId="0" fontId="0" fillId="0" borderId="89" xfId="0" applyFont="1" applyBorder="1" applyAlignment="1">
      <alignment/>
    </xf>
    <xf numFmtId="3" fontId="0" fillId="0" borderId="90" xfId="0" applyNumberFormat="1" applyBorder="1" applyAlignment="1">
      <alignment/>
    </xf>
    <xf numFmtId="3" fontId="0" fillId="0" borderId="91" xfId="0" applyNumberFormat="1" applyBorder="1" applyAlignment="1">
      <alignment/>
    </xf>
    <xf numFmtId="0" fontId="0" fillId="0" borderId="89" xfId="0" applyBorder="1" applyAlignment="1">
      <alignment/>
    </xf>
    <xf numFmtId="3" fontId="0" fillId="0" borderId="92" xfId="0" applyNumberFormat="1" applyBorder="1" applyAlignment="1">
      <alignment/>
    </xf>
    <xf numFmtId="3" fontId="0" fillId="0" borderId="93" xfId="0" applyNumberFormat="1" applyBorder="1" applyAlignment="1">
      <alignment/>
    </xf>
    <xf numFmtId="3" fontId="0" fillId="0" borderId="5" xfId="0" applyNumberFormat="1" applyBorder="1" applyAlignment="1">
      <alignment/>
    </xf>
    <xf numFmtId="0" fontId="0" fillId="0" borderId="94" xfId="0" applyFont="1" applyBorder="1" applyAlignment="1">
      <alignment/>
    </xf>
    <xf numFmtId="3" fontId="0" fillId="0" borderId="95" xfId="0" applyNumberFormat="1" applyBorder="1" applyAlignment="1">
      <alignment/>
    </xf>
    <xf numFmtId="0" fontId="0" fillId="0" borderId="94" xfId="0" applyBorder="1" applyAlignment="1">
      <alignment/>
    </xf>
    <xf numFmtId="3" fontId="0" fillId="0" borderId="96" xfId="0" applyNumberFormat="1" applyBorder="1" applyAlignment="1">
      <alignment/>
    </xf>
    <xf numFmtId="0" fontId="0" fillId="0" borderId="69" xfId="0" applyBorder="1" applyAlignment="1">
      <alignment/>
    </xf>
    <xf numFmtId="0" fontId="0" fillId="0" borderId="97" xfId="0" applyFont="1" applyBorder="1" applyAlignment="1">
      <alignment/>
    </xf>
    <xf numFmtId="3" fontId="0" fillId="0" borderId="98" xfId="0" applyNumberFormat="1" applyBorder="1" applyAlignment="1">
      <alignment/>
    </xf>
    <xf numFmtId="3" fontId="0" fillId="0" borderId="44" xfId="0" applyNumberFormat="1" applyBorder="1" applyAlignment="1">
      <alignment/>
    </xf>
    <xf numFmtId="3" fontId="0" fillId="0" borderId="66" xfId="0" applyNumberFormat="1" applyBorder="1" applyAlignment="1">
      <alignment/>
    </xf>
    <xf numFmtId="3" fontId="0" fillId="0" borderId="89" xfId="0" applyNumberFormat="1" applyBorder="1" applyAlignment="1">
      <alignment/>
    </xf>
    <xf numFmtId="0" fontId="0" fillId="0" borderId="84" xfId="0" applyBorder="1" applyAlignment="1">
      <alignment/>
    </xf>
    <xf numFmtId="0" fontId="0" fillId="0" borderId="99" xfId="0" applyBorder="1" applyAlignment="1">
      <alignment/>
    </xf>
    <xf numFmtId="3" fontId="0" fillId="0" borderId="100" xfId="0" applyNumberFormat="1" applyBorder="1" applyAlignment="1">
      <alignment/>
    </xf>
    <xf numFmtId="3" fontId="0" fillId="0" borderId="101" xfId="0" applyNumberFormat="1" applyBorder="1" applyAlignment="1">
      <alignment/>
    </xf>
    <xf numFmtId="0" fontId="0" fillId="0" borderId="70" xfId="0" applyFont="1" applyBorder="1" applyAlignment="1">
      <alignment/>
    </xf>
    <xf numFmtId="3" fontId="0" fillId="0" borderId="70" xfId="0" applyNumberFormat="1" applyBorder="1" applyAlignment="1">
      <alignment/>
    </xf>
    <xf numFmtId="3" fontId="0" fillId="0" borderId="94" xfId="0" applyNumberFormat="1" applyBorder="1" applyAlignment="1">
      <alignment/>
    </xf>
    <xf numFmtId="0" fontId="0" fillId="0" borderId="1" xfId="0" applyFont="1" applyBorder="1" applyAlignment="1">
      <alignment/>
    </xf>
    <xf numFmtId="0" fontId="17" fillId="14" borderId="5" xfId="0" applyFont="1" applyFill="1" applyBorder="1" applyAlignment="1">
      <alignment/>
    </xf>
    <xf numFmtId="3" fontId="2" fillId="0" borderId="1" xfId="0" applyNumberFormat="1" applyFont="1" applyBorder="1" applyAlignment="1">
      <alignment/>
    </xf>
    <xf numFmtId="3" fontId="2" fillId="0" borderId="70" xfId="0" applyNumberFormat="1" applyFont="1" applyBorder="1" applyAlignment="1">
      <alignment/>
    </xf>
    <xf numFmtId="0" fontId="98" fillId="0" borderId="69" xfId="0" applyFont="1" applyBorder="1" applyAlignment="1">
      <alignment/>
    </xf>
    <xf numFmtId="3" fontId="0" fillId="0" borderId="4" xfId="0" applyNumberFormat="1" applyBorder="1" applyAlignment="1">
      <alignment/>
    </xf>
    <xf numFmtId="3" fontId="0" fillId="0" borderId="102" xfId="0" applyNumberFormat="1" applyBorder="1" applyAlignment="1">
      <alignment/>
    </xf>
    <xf numFmtId="0" fontId="0" fillId="0" borderId="103" xfId="0" applyBorder="1" applyAlignment="1">
      <alignment/>
    </xf>
    <xf numFmtId="3" fontId="1" fillId="0" borderId="103" xfId="0" applyNumberFormat="1" applyFont="1" applyBorder="1" applyAlignment="1">
      <alignment/>
    </xf>
    <xf numFmtId="0" fontId="0" fillId="0" borderId="99" xfId="0" applyFont="1" applyBorder="1" applyAlignment="1">
      <alignment/>
    </xf>
    <xf numFmtId="3" fontId="0" fillId="0" borderId="99" xfId="0" applyNumberFormat="1" applyBorder="1" applyAlignment="1">
      <alignment/>
    </xf>
    <xf numFmtId="3" fontId="1" fillId="0" borderId="44" xfId="0" applyNumberFormat="1" applyFont="1" applyBorder="1" applyAlignment="1">
      <alignment/>
    </xf>
    <xf numFmtId="0" fontId="2" fillId="0" borderId="70" xfId="0" applyFont="1" applyBorder="1" applyAlignment="1">
      <alignment/>
    </xf>
    <xf numFmtId="0" fontId="63" fillId="0" borderId="0" xfId="0" applyFont="1" applyAlignment="1">
      <alignment horizontal="right"/>
    </xf>
    <xf numFmtId="3" fontId="63" fillId="0" borderId="1" xfId="0" applyNumberFormat="1" applyFont="1" applyBorder="1" applyAlignment="1">
      <alignment/>
    </xf>
    <xf numFmtId="0" fontId="63" fillId="0" borderId="1" xfId="0" applyFont="1" applyBorder="1" applyAlignment="1">
      <alignment/>
    </xf>
    <xf numFmtId="0" fontId="32" fillId="0" borderId="0" xfId="0" applyFont="1" applyAlignment="1" quotePrefix="1">
      <alignment horizontal="center"/>
    </xf>
    <xf numFmtId="183" fontId="43" fillId="0" borderId="0" xfId="0" applyNumberFormat="1" applyFont="1" applyAlignment="1">
      <alignment/>
    </xf>
    <xf numFmtId="0" fontId="99" fillId="0" borderId="0" xfId="0" applyFont="1" applyAlignment="1">
      <alignment/>
    </xf>
    <xf numFmtId="4" fontId="63" fillId="0" borderId="1" xfId="0" applyNumberFormat="1" applyFont="1" applyBorder="1" applyAlignment="1">
      <alignment/>
    </xf>
    <xf numFmtId="0" fontId="63" fillId="0" borderId="0" xfId="0" applyFont="1" applyAlignment="1">
      <alignment/>
    </xf>
    <xf numFmtId="0" fontId="19" fillId="0" borderId="5" xfId="0" applyFont="1" applyBorder="1" applyAlignment="1">
      <alignment horizontal="center" vertical="center" wrapText="1"/>
    </xf>
    <xf numFmtId="0" fontId="19" fillId="0" borderId="1" xfId="0" applyFont="1" applyFill="1" applyBorder="1" applyAlignment="1">
      <alignment horizontal="center" vertical="center" wrapText="1"/>
    </xf>
    <xf numFmtId="0" fontId="9" fillId="0" borderId="2" xfId="0" applyFont="1" applyBorder="1" applyAlignment="1">
      <alignment horizontal="right"/>
    </xf>
    <xf numFmtId="3" fontId="0" fillId="0" borderId="66" xfId="0" applyNumberFormat="1" applyFont="1" applyBorder="1" applyAlignment="1">
      <alignment/>
    </xf>
    <xf numFmtId="0" fontId="0" fillId="0" borderId="69" xfId="0" applyFont="1" applyBorder="1" applyAlignment="1">
      <alignment/>
    </xf>
    <xf numFmtId="3" fontId="0" fillId="0" borderId="1" xfId="0" applyNumberFormat="1" applyFont="1" applyBorder="1" applyAlignment="1">
      <alignment/>
    </xf>
    <xf numFmtId="3" fontId="0" fillId="0" borderId="4" xfId="0" applyNumberFormat="1" applyFont="1" applyBorder="1" applyAlignment="1">
      <alignment/>
    </xf>
    <xf numFmtId="0" fontId="98" fillId="0" borderId="1" xfId="0" applyFont="1" applyBorder="1" applyAlignment="1">
      <alignment/>
    </xf>
    <xf numFmtId="3" fontId="17" fillId="14" borderId="5" xfId="0" applyNumberFormat="1" applyFont="1" applyFill="1" applyBorder="1" applyAlignment="1">
      <alignment/>
    </xf>
    <xf numFmtId="3" fontId="0" fillId="0" borderId="73" xfId="0" applyNumberFormat="1" applyBorder="1" applyAlignment="1">
      <alignment/>
    </xf>
    <xf numFmtId="3" fontId="2" fillId="0" borderId="44" xfId="0" applyNumberFormat="1" applyFont="1" applyBorder="1" applyAlignment="1">
      <alignment/>
    </xf>
    <xf numFmtId="3" fontId="2" fillId="0" borderId="0" xfId="0" applyNumberFormat="1" applyFont="1" applyBorder="1" applyAlignment="1">
      <alignment/>
    </xf>
    <xf numFmtId="0" fontId="37" fillId="0" borderId="1" xfId="0" applyFont="1" applyBorder="1" applyAlignment="1">
      <alignment/>
    </xf>
    <xf numFmtId="3" fontId="0" fillId="0" borderId="5" xfId="0" applyNumberFormat="1" applyFont="1" applyBorder="1" applyAlignment="1">
      <alignment/>
    </xf>
    <xf numFmtId="0" fontId="37" fillId="0" borderId="94" xfId="0" applyFont="1" applyBorder="1" applyAlignment="1">
      <alignment/>
    </xf>
    <xf numFmtId="0" fontId="0" fillId="0" borderId="104" xfId="0" applyBorder="1" applyAlignment="1">
      <alignment/>
    </xf>
    <xf numFmtId="0" fontId="0" fillId="0" borderId="96" xfId="0" applyBorder="1" applyAlignment="1">
      <alignment/>
    </xf>
    <xf numFmtId="3" fontId="0" fillId="0" borderId="1" xfId="0" applyNumberFormat="1" applyFill="1" applyBorder="1" applyAlignment="1">
      <alignment/>
    </xf>
    <xf numFmtId="0" fontId="37" fillId="0" borderId="89" xfId="0" applyFont="1" applyBorder="1" applyAlignment="1">
      <alignment/>
    </xf>
    <xf numFmtId="0" fontId="0" fillId="0" borderId="105" xfId="0" applyBorder="1" applyAlignment="1">
      <alignment/>
    </xf>
    <xf numFmtId="0" fontId="0" fillId="0" borderId="106" xfId="0" applyBorder="1" applyAlignment="1">
      <alignment/>
    </xf>
    <xf numFmtId="0" fontId="37" fillId="0" borderId="99" xfId="0" applyFont="1" applyBorder="1" applyAlignment="1">
      <alignment/>
    </xf>
    <xf numFmtId="3" fontId="0" fillId="0" borderId="100" xfId="0" applyNumberFormat="1" applyFill="1" applyBorder="1" applyAlignment="1">
      <alignment/>
    </xf>
    <xf numFmtId="0" fontId="0" fillId="0" borderId="93" xfId="0" applyBorder="1" applyAlignment="1">
      <alignment/>
    </xf>
    <xf numFmtId="0" fontId="37" fillId="0" borderId="3" xfId="0" applyFont="1" applyBorder="1" applyAlignment="1">
      <alignment/>
    </xf>
    <xf numFmtId="3" fontId="0" fillId="0" borderId="3" xfId="0" applyNumberFormat="1" applyBorder="1" applyAlignment="1">
      <alignment/>
    </xf>
    <xf numFmtId="0" fontId="0" fillId="0" borderId="102" xfId="0" applyBorder="1" applyAlignment="1">
      <alignment/>
    </xf>
    <xf numFmtId="3" fontId="2" fillId="0" borderId="94" xfId="0" applyNumberFormat="1" applyFont="1" applyBorder="1" applyAlignment="1">
      <alignment/>
    </xf>
    <xf numFmtId="3" fontId="0" fillId="0" borderId="94" xfId="0" applyNumberFormat="1" applyFont="1" applyBorder="1" applyAlignment="1">
      <alignment/>
    </xf>
    <xf numFmtId="0" fontId="63" fillId="0" borderId="0" xfId="0" applyFont="1" applyAlignment="1">
      <alignment horizontal="center"/>
    </xf>
    <xf numFmtId="3" fontId="0" fillId="0" borderId="34" xfId="0" applyNumberFormat="1" applyBorder="1" applyAlignment="1">
      <alignment/>
    </xf>
    <xf numFmtId="3" fontId="0" fillId="0" borderId="107" xfId="0" applyNumberFormat="1" applyBorder="1" applyAlignment="1">
      <alignment/>
    </xf>
    <xf numFmtId="3" fontId="2" fillId="0" borderId="40" xfId="0" applyNumberFormat="1" applyFont="1" applyBorder="1" applyAlignment="1">
      <alignment/>
    </xf>
    <xf numFmtId="3" fontId="0" fillId="0" borderId="6" xfId="0" applyNumberFormat="1" applyFont="1" applyBorder="1" applyAlignment="1">
      <alignment/>
    </xf>
    <xf numFmtId="3" fontId="0" fillId="0" borderId="6" xfId="0" applyNumberFormat="1" applyBorder="1" applyAlignment="1">
      <alignment/>
    </xf>
    <xf numFmtId="3" fontId="0" fillId="0" borderId="104" xfId="0" applyNumberFormat="1" applyBorder="1" applyAlignment="1">
      <alignment/>
    </xf>
    <xf numFmtId="3" fontId="0" fillId="0" borderId="69" xfId="0" applyNumberFormat="1" applyFont="1" applyBorder="1" applyAlignment="1">
      <alignment/>
    </xf>
    <xf numFmtId="0" fontId="37" fillId="0" borderId="69" xfId="0" applyFont="1" applyBorder="1" applyAlignment="1">
      <alignment/>
    </xf>
    <xf numFmtId="0" fontId="2" fillId="5" borderId="0" xfId="0" applyFont="1" applyFill="1" applyBorder="1" applyAlignment="1">
      <alignment horizontal="center"/>
    </xf>
    <xf numFmtId="2" fontId="63" fillId="0" borderId="1" xfId="0" applyNumberFormat="1" applyFont="1" applyBorder="1" applyAlignment="1">
      <alignment/>
    </xf>
    <xf numFmtId="0" fontId="1" fillId="0" borderId="108" xfId="0" applyFont="1" applyFill="1" applyBorder="1" applyAlignment="1">
      <alignment/>
    </xf>
    <xf numFmtId="3" fontId="1" fillId="0" borderId="1" xfId="0" applyNumberFormat="1" applyFont="1" applyFill="1" applyBorder="1" applyAlignment="1">
      <alignment/>
    </xf>
    <xf numFmtId="2" fontId="0" fillId="0" borderId="1" xfId="0" applyNumberFormat="1" applyFill="1" applyBorder="1" applyAlignment="1">
      <alignment/>
    </xf>
    <xf numFmtId="3" fontId="1" fillId="0" borderId="13" xfId="0" applyNumberFormat="1" applyFont="1" applyFill="1" applyBorder="1" applyAlignment="1">
      <alignment/>
    </xf>
    <xf numFmtId="4" fontId="0" fillId="0" borderId="1" xfId="0" applyNumberFormat="1" applyFill="1" applyBorder="1" applyAlignment="1">
      <alignment/>
    </xf>
    <xf numFmtId="0" fontId="0" fillId="0" borderId="1" xfId="0" applyFill="1" applyBorder="1" applyAlignment="1">
      <alignment/>
    </xf>
    <xf numFmtId="0" fontId="0" fillId="0" borderId="13" xfId="0" applyFill="1" applyBorder="1" applyAlignment="1">
      <alignment/>
    </xf>
    <xf numFmtId="4" fontId="0" fillId="0" borderId="13" xfId="0" applyNumberFormat="1" applyFill="1" applyBorder="1" applyAlignment="1">
      <alignment/>
    </xf>
    <xf numFmtId="0" fontId="79" fillId="0" borderId="0" xfId="0" applyFont="1" applyBorder="1" applyAlignment="1">
      <alignment/>
    </xf>
    <xf numFmtId="0" fontId="79" fillId="0" borderId="0" xfId="0" applyFont="1" applyBorder="1" applyAlignment="1">
      <alignment horizontal="right"/>
    </xf>
    <xf numFmtId="179" fontId="79" fillId="0" borderId="0" xfId="0" applyNumberFormat="1" applyFont="1" applyBorder="1" applyAlignment="1">
      <alignment horizontal="right"/>
    </xf>
    <xf numFmtId="0" fontId="79" fillId="0" borderId="81" xfId="0" applyFont="1" applyBorder="1" applyAlignment="1">
      <alignment/>
    </xf>
    <xf numFmtId="0" fontId="99" fillId="0" borderId="81" xfId="0" applyFont="1" applyBorder="1" applyAlignment="1">
      <alignment/>
    </xf>
    <xf numFmtId="0" fontId="35" fillId="0" borderId="0" xfId="0" applyFont="1" applyBorder="1" applyAlignment="1">
      <alignment/>
    </xf>
    <xf numFmtId="0" fontId="35" fillId="0" borderId="0" xfId="0" applyFont="1" applyBorder="1" applyAlignment="1">
      <alignment horizontal="right"/>
    </xf>
    <xf numFmtId="0" fontId="79" fillId="0" borderId="0" xfId="0" applyFont="1" applyAlignment="1">
      <alignment horizontal="right"/>
    </xf>
    <xf numFmtId="0" fontId="100" fillId="0" borderId="0" xfId="0" applyFont="1" applyAlignment="1">
      <alignment/>
    </xf>
    <xf numFmtId="0" fontId="65" fillId="5" borderId="14" xfId="0" applyFont="1" applyFill="1" applyBorder="1" applyAlignment="1">
      <alignment horizontal="left"/>
    </xf>
    <xf numFmtId="0" fontId="2" fillId="5" borderId="14" xfId="0" applyFont="1" applyFill="1" applyBorder="1" applyAlignment="1" quotePrefix="1">
      <alignment horizontal="left"/>
    </xf>
    <xf numFmtId="0" fontId="1" fillId="0" borderId="82" xfId="0" applyFont="1" applyBorder="1" applyAlignment="1">
      <alignment/>
    </xf>
    <xf numFmtId="0" fontId="0" fillId="0" borderId="83" xfId="0" applyFont="1" applyBorder="1" applyAlignment="1">
      <alignment/>
    </xf>
    <xf numFmtId="3" fontId="1" fillId="0" borderId="83" xfId="0" applyNumberFormat="1" applyFont="1" applyBorder="1" applyAlignment="1">
      <alignment/>
    </xf>
    <xf numFmtId="0" fontId="1" fillId="0" borderId="84" xfId="0" applyFont="1" applyBorder="1" applyAlignment="1">
      <alignment/>
    </xf>
    <xf numFmtId="0" fontId="2" fillId="0" borderId="43" xfId="0" applyFont="1" applyBorder="1" applyAlignment="1">
      <alignment/>
    </xf>
    <xf numFmtId="0" fontId="25" fillId="0" borderId="85" xfId="0" applyFont="1" applyBorder="1" applyAlignment="1">
      <alignment/>
    </xf>
    <xf numFmtId="3" fontId="2" fillId="0" borderId="85" xfId="0" applyNumberFormat="1" applyFont="1" applyBorder="1" applyAlignment="1">
      <alignment/>
    </xf>
    <xf numFmtId="0" fontId="2" fillId="0" borderId="44" xfId="0" applyFont="1" applyBorder="1" applyAlignment="1">
      <alignment/>
    </xf>
    <xf numFmtId="4" fontId="1" fillId="13" borderId="0" xfId="0" applyNumberFormat="1" applyFont="1" applyFill="1" applyBorder="1" applyAlignment="1">
      <alignment/>
    </xf>
    <xf numFmtId="0" fontId="32" fillId="0" borderId="0" xfId="0" applyFont="1" applyAlignment="1">
      <alignment horizontal="center"/>
    </xf>
    <xf numFmtId="0" fontId="58" fillId="0" borderId="2" xfId="0" applyFont="1" applyBorder="1" applyAlignment="1">
      <alignment/>
    </xf>
    <xf numFmtId="0" fontId="2" fillId="5" borderId="0" xfId="0" applyFont="1" applyFill="1" applyBorder="1" applyAlignment="1" quotePrefix="1">
      <alignment horizontal="center"/>
    </xf>
    <xf numFmtId="0" fontId="1" fillId="5" borderId="109" xfId="0" applyFont="1" applyFill="1" applyBorder="1" applyAlignment="1">
      <alignment/>
    </xf>
    <xf numFmtId="198" fontId="2" fillId="0" borderId="94" xfId="0" applyNumberFormat="1" applyFont="1" applyBorder="1" applyAlignment="1">
      <alignment horizontal="center"/>
    </xf>
    <xf numFmtId="198" fontId="2" fillId="0" borderId="1" xfId="0" applyNumberFormat="1" applyFont="1" applyBorder="1" applyAlignment="1">
      <alignment horizontal="center"/>
    </xf>
    <xf numFmtId="198" fontId="2" fillId="0" borderId="96" xfId="0" applyNumberFormat="1" applyFont="1" applyBorder="1" applyAlignment="1">
      <alignment horizontal="center"/>
    </xf>
    <xf numFmtId="198" fontId="2" fillId="0" borderId="99" xfId="0" applyNumberFormat="1" applyFont="1" applyBorder="1" applyAlignment="1">
      <alignment horizontal="center"/>
    </xf>
    <xf numFmtId="198" fontId="2" fillId="0" borderId="100" xfId="0" applyNumberFormat="1" applyFont="1" applyBorder="1" applyAlignment="1">
      <alignment horizontal="center"/>
    </xf>
    <xf numFmtId="198" fontId="2" fillId="0" borderId="101" xfId="0" applyNumberFormat="1" applyFont="1" applyBorder="1" applyAlignment="1">
      <alignment horizontal="center"/>
    </xf>
    <xf numFmtId="188" fontId="0" fillId="0" borderId="0" xfId="0" applyNumberFormat="1" applyAlignment="1">
      <alignment/>
    </xf>
    <xf numFmtId="198" fontId="0" fillId="0" borderId="0" xfId="0" applyNumberFormat="1" applyBorder="1" applyAlignment="1">
      <alignment/>
    </xf>
    <xf numFmtId="0" fontId="27" fillId="0" borderId="39" xfId="0" applyFont="1" applyBorder="1" applyAlignment="1">
      <alignment/>
    </xf>
    <xf numFmtId="0" fontId="27" fillId="0" borderId="0" xfId="0" applyFont="1" applyBorder="1" applyAlignment="1">
      <alignment/>
    </xf>
    <xf numFmtId="9" fontId="67" fillId="4" borderId="67" xfId="0" applyNumberFormat="1" applyFont="1" applyFill="1" applyBorder="1" applyAlignment="1">
      <alignment horizontal="center" vertical="center"/>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32" fillId="0" borderId="116" xfId="0" applyFont="1" applyBorder="1" applyAlignment="1">
      <alignment horizontal="center" vertical="center" wrapText="1"/>
    </xf>
    <xf numFmtId="0" fontId="43" fillId="0" borderId="116" xfId="0" applyFont="1" applyBorder="1" applyAlignment="1">
      <alignment horizontal="center" vertical="center"/>
    </xf>
    <xf numFmtId="0" fontId="0" fillId="0" borderId="117" xfId="0" applyBorder="1" applyAlignment="1">
      <alignment/>
    </xf>
    <xf numFmtId="0" fontId="1" fillId="0" borderId="116" xfId="0" applyFont="1" applyBorder="1" applyAlignment="1">
      <alignment/>
    </xf>
    <xf numFmtId="0" fontId="0" fillId="0" borderId="118" xfId="0" applyBorder="1" applyAlignment="1">
      <alignment/>
    </xf>
    <xf numFmtId="0" fontId="0" fillId="0" borderId="116" xfId="0" applyBorder="1" applyAlignment="1">
      <alignment/>
    </xf>
    <xf numFmtId="0" fontId="0" fillId="0" borderId="119" xfId="0" applyBorder="1" applyAlignment="1">
      <alignment/>
    </xf>
    <xf numFmtId="0" fontId="0" fillId="0" borderId="120" xfId="0" applyBorder="1" applyAlignment="1">
      <alignment/>
    </xf>
    <xf numFmtId="0" fontId="32" fillId="0" borderId="110" xfId="0" applyFont="1" applyBorder="1" applyAlignment="1">
      <alignment horizontal="center" vertical="center" wrapText="1"/>
    </xf>
    <xf numFmtId="0" fontId="43" fillId="0" borderId="110" xfId="0" applyFont="1" applyBorder="1" applyAlignment="1">
      <alignment horizontal="center" vertical="center"/>
    </xf>
    <xf numFmtId="0" fontId="1" fillId="0" borderId="110" xfId="0" applyFont="1" applyBorder="1" applyAlignment="1">
      <alignment/>
    </xf>
    <xf numFmtId="0" fontId="3" fillId="0" borderId="81" xfId="0" applyFont="1" applyBorder="1" applyAlignment="1">
      <alignment vertical="center"/>
    </xf>
    <xf numFmtId="0" fontId="68" fillId="0" borderId="0" xfId="0" applyFont="1" applyBorder="1" applyAlignment="1">
      <alignment horizontal="center" vertical="center" wrapText="1"/>
    </xf>
    <xf numFmtId="0" fontId="67" fillId="0" borderId="0" xfId="0" applyFont="1" applyBorder="1" applyAlignment="1">
      <alignment horizontal="center" vertical="center"/>
    </xf>
    <xf numFmtId="0" fontId="27" fillId="0" borderId="117" xfId="0" applyFont="1" applyBorder="1" applyAlignment="1">
      <alignment/>
    </xf>
    <xf numFmtId="0" fontId="27" fillId="0" borderId="116" xfId="0" applyFont="1" applyBorder="1" applyAlignment="1">
      <alignment/>
    </xf>
    <xf numFmtId="0" fontId="27" fillId="0" borderId="111" xfId="0" applyFont="1" applyBorder="1" applyAlignment="1">
      <alignment/>
    </xf>
    <xf numFmtId="0" fontId="27" fillId="0" borderId="110" xfId="0" applyFont="1" applyBorder="1" applyAlignment="1">
      <alignment/>
    </xf>
    <xf numFmtId="0" fontId="8" fillId="0" borderId="116" xfId="0" applyFont="1" applyBorder="1" applyAlignment="1">
      <alignment horizontal="center" vertical="center" wrapText="1"/>
    </xf>
    <xf numFmtId="0" fontId="1" fillId="0" borderId="116" xfId="0" applyFont="1" applyBorder="1" applyAlignment="1">
      <alignment horizontal="center"/>
    </xf>
    <xf numFmtId="179" fontId="1" fillId="0" borderId="117" xfId="0" applyNumberFormat="1" applyFont="1" applyBorder="1" applyAlignment="1">
      <alignment horizontal="center"/>
    </xf>
    <xf numFmtId="179" fontId="1" fillId="0" borderId="116" xfId="0" applyNumberFormat="1" applyFont="1" applyBorder="1" applyAlignment="1">
      <alignment horizontal="center"/>
    </xf>
    <xf numFmtId="179" fontId="1" fillId="0" borderId="118" xfId="0" applyNumberFormat="1" applyFont="1" applyBorder="1" applyAlignment="1">
      <alignment horizontal="center"/>
    </xf>
    <xf numFmtId="0" fontId="2" fillId="0" borderId="0" xfId="0" applyFont="1" applyBorder="1" applyAlignment="1">
      <alignment horizontal="center" vertical="center" wrapText="1"/>
    </xf>
    <xf numFmtId="0" fontId="65" fillId="0" borderId="120" xfId="0" applyFont="1" applyBorder="1" applyAlignment="1">
      <alignment vertical="center"/>
    </xf>
    <xf numFmtId="0" fontId="65" fillId="0" borderId="81" xfId="0" applyFont="1" applyBorder="1" applyAlignment="1">
      <alignment vertical="center"/>
    </xf>
    <xf numFmtId="188" fontId="67" fillId="4" borderId="121" xfId="0" applyNumberFormat="1" applyFont="1" applyFill="1" applyBorder="1" applyAlignment="1">
      <alignment horizontal="center" vertical="center"/>
    </xf>
    <xf numFmtId="187" fontId="67" fillId="4" borderId="67" xfId="0" applyNumberFormat="1" applyFont="1" applyFill="1" applyBorder="1" applyAlignment="1">
      <alignment horizontal="center" vertical="center"/>
    </xf>
    <xf numFmtId="0" fontId="43" fillId="0" borderId="118" xfId="0" applyFont="1" applyBorder="1" applyAlignment="1">
      <alignment horizontal="center" vertical="center"/>
    </xf>
    <xf numFmtId="0" fontId="68" fillId="0" borderId="40" xfId="0" applyFont="1" applyBorder="1" applyAlignment="1">
      <alignment horizontal="center" vertical="center"/>
    </xf>
    <xf numFmtId="0" fontId="0" fillId="15" borderId="1" xfId="0" applyFont="1" applyFill="1" applyBorder="1" applyAlignment="1" applyProtection="1">
      <alignment horizontal="center"/>
      <protection locked="0"/>
    </xf>
    <xf numFmtId="0" fontId="0" fillId="15" borderId="1" xfId="0" applyFill="1" applyBorder="1" applyAlignment="1" applyProtection="1">
      <alignment horizontal="center"/>
      <protection locked="0"/>
    </xf>
    <xf numFmtId="2" fontId="0" fillId="15" borderId="1" xfId="0" applyNumberFormat="1" applyFont="1" applyFill="1" applyBorder="1" applyAlignment="1" applyProtection="1">
      <alignment/>
      <protection locked="0"/>
    </xf>
    <xf numFmtId="3" fontId="0" fillId="15" borderId="1" xfId="0" applyNumberFormat="1" applyFont="1" applyFill="1" applyBorder="1" applyAlignment="1" applyProtection="1">
      <alignment/>
      <protection locked="0"/>
    </xf>
    <xf numFmtId="0" fontId="18" fillId="11" borderId="1" xfId="0" applyFont="1" applyFill="1" applyBorder="1" applyAlignment="1" applyProtection="1">
      <alignment/>
      <protection locked="0"/>
    </xf>
    <xf numFmtId="0" fontId="1" fillId="11" borderId="1" xfId="0" applyFont="1" applyFill="1" applyBorder="1" applyAlignment="1" applyProtection="1">
      <alignment/>
      <protection locked="0"/>
    </xf>
    <xf numFmtId="0" fontId="0" fillId="11" borderId="1" xfId="0" applyFont="1" applyFill="1" applyBorder="1" applyAlignment="1" applyProtection="1">
      <alignment/>
      <protection locked="0"/>
    </xf>
    <xf numFmtId="9" fontId="37" fillId="6" borderId="4" xfId="0" applyNumberFormat="1" applyFont="1" applyFill="1" applyBorder="1" applyAlignment="1" applyProtection="1">
      <alignment/>
      <protection locked="0"/>
    </xf>
    <xf numFmtId="49" fontId="65" fillId="0" borderId="0" xfId="0" applyNumberFormat="1" applyFont="1" applyAlignment="1">
      <alignment horizontal="right"/>
    </xf>
    <xf numFmtId="0" fontId="1" fillId="0" borderId="0" xfId="0" applyFont="1" applyAlignment="1">
      <alignment horizontal="left"/>
    </xf>
    <xf numFmtId="1" fontId="1" fillId="0" borderId="1" xfId="0" applyNumberFormat="1" applyFont="1" applyBorder="1" applyAlignment="1">
      <alignment horizontal="center"/>
    </xf>
    <xf numFmtId="0" fontId="0" fillId="16" borderId="1" xfId="0" applyFill="1" applyBorder="1" applyAlignment="1" applyProtection="1">
      <alignment horizontal="center"/>
      <protection locked="0"/>
    </xf>
    <xf numFmtId="2" fontId="0" fillId="16" borderId="1" xfId="0" applyNumberFormat="1" applyFill="1" applyBorder="1" applyAlignment="1" applyProtection="1">
      <alignment horizontal="center"/>
      <protection locked="0"/>
    </xf>
    <xf numFmtId="0" fontId="2" fillId="8" borderId="70" xfId="0" applyFont="1" applyFill="1" applyBorder="1" applyAlignment="1" applyProtection="1">
      <alignment horizontal="center" vertical="center"/>
      <protection locked="0"/>
    </xf>
    <xf numFmtId="0" fontId="19" fillId="0" borderId="0" xfId="0" applyFont="1" applyFill="1" applyBorder="1" applyAlignment="1">
      <alignment horizontal="right" wrapText="1"/>
    </xf>
    <xf numFmtId="0" fontId="0" fillId="0" borderId="0" xfId="0" applyBorder="1" applyAlignment="1">
      <alignment wrapText="1"/>
    </xf>
    <xf numFmtId="0" fontId="8" fillId="0" borderId="3" xfId="0" applyFont="1" applyFill="1" applyBorder="1" applyAlignment="1">
      <alignment horizontal="center"/>
    </xf>
    <xf numFmtId="3" fontId="37" fillId="0" borderId="1" xfId="0" applyNumberFormat="1" applyFont="1" applyBorder="1" applyAlignment="1">
      <alignment/>
    </xf>
    <xf numFmtId="0" fontId="0" fillId="0" borderId="4" xfId="0" applyBorder="1" applyAlignment="1">
      <alignment horizontal="left"/>
    </xf>
    <xf numFmtId="0" fontId="0" fillId="0" borderId="5" xfId="0" applyBorder="1" applyAlignment="1">
      <alignment horizontal="left"/>
    </xf>
    <xf numFmtId="0" fontId="16" fillId="0" borderId="0" xfId="0" applyFont="1" applyFill="1" applyAlignment="1">
      <alignment horizontal="center" vertical="center"/>
    </xf>
    <xf numFmtId="0" fontId="35" fillId="0" borderId="113" xfId="0" applyFont="1" applyBorder="1" applyAlignment="1">
      <alignment horizontal="center" vertical="center"/>
    </xf>
    <xf numFmtId="3" fontId="0" fillId="0" borderId="1" xfId="0" applyNumberFormat="1" applyBorder="1" applyAlignment="1">
      <alignment horizontal="right"/>
    </xf>
    <xf numFmtId="4" fontId="0" fillId="0" borderId="0" xfId="0" applyNumberFormat="1" applyAlignment="1">
      <alignment/>
    </xf>
    <xf numFmtId="0" fontId="0" fillId="0" borderId="104" xfId="0" applyFont="1" applyBorder="1" applyAlignment="1">
      <alignment/>
    </xf>
    <xf numFmtId="3" fontId="0" fillId="0" borderId="105" xfId="0" applyNumberFormat="1" applyBorder="1" applyAlignment="1">
      <alignment/>
    </xf>
    <xf numFmtId="3" fontId="0" fillId="0" borderId="122" xfId="0" applyNumberFormat="1" applyBorder="1" applyAlignment="1">
      <alignment/>
    </xf>
    <xf numFmtId="0" fontId="37" fillId="0" borderId="102" xfId="0" applyFont="1" applyBorder="1" applyAlignment="1">
      <alignment/>
    </xf>
    <xf numFmtId="0" fontId="37" fillId="0" borderId="123" xfId="0" applyFont="1" applyBorder="1" applyAlignment="1">
      <alignment/>
    </xf>
    <xf numFmtId="3" fontId="0" fillId="0" borderId="11" xfId="0" applyNumberFormat="1" applyBorder="1" applyAlignment="1">
      <alignment/>
    </xf>
    <xf numFmtId="3" fontId="0" fillId="0" borderId="12" xfId="0" applyNumberFormat="1" applyBorder="1" applyAlignment="1">
      <alignment/>
    </xf>
    <xf numFmtId="0" fontId="0" fillId="0" borderId="108" xfId="0" applyBorder="1" applyAlignment="1">
      <alignment/>
    </xf>
    <xf numFmtId="3" fontId="0" fillId="0" borderId="13" xfId="0" applyNumberFormat="1" applyBorder="1" applyAlignment="1">
      <alignment/>
    </xf>
    <xf numFmtId="0" fontId="37" fillId="0" borderId="124" xfId="0" applyFont="1" applyBorder="1" applyAlignment="1">
      <alignment/>
    </xf>
    <xf numFmtId="3" fontId="0" fillId="0" borderId="17" xfId="0" applyNumberFormat="1" applyBorder="1" applyAlignment="1">
      <alignment/>
    </xf>
    <xf numFmtId="3" fontId="0" fillId="0" borderId="18" xfId="0" applyNumberFormat="1" applyBorder="1" applyAlignment="1">
      <alignment/>
    </xf>
    <xf numFmtId="0" fontId="63" fillId="0" borderId="0" xfId="0" applyFont="1" applyAlignment="1" quotePrefix="1">
      <alignment horizontal="right"/>
    </xf>
    <xf numFmtId="0" fontId="12" fillId="0" borderId="125" xfId="0" applyFont="1" applyBorder="1" applyAlignment="1">
      <alignment horizontal="center" vertical="center"/>
    </xf>
    <xf numFmtId="0" fontId="0" fillId="0" borderId="4" xfId="0" applyBorder="1" applyAlignment="1">
      <alignment horizontal="center"/>
    </xf>
    <xf numFmtId="183" fontId="12" fillId="0" borderId="19" xfId="0" applyNumberFormat="1" applyFont="1" applyBorder="1" applyAlignment="1" quotePrefix="1">
      <alignment horizontal="left" vertical="center"/>
    </xf>
    <xf numFmtId="183" fontId="12" fillId="0" borderId="19" xfId="0" applyNumberFormat="1" applyFont="1" applyBorder="1" applyAlignment="1" quotePrefix="1">
      <alignment horizontal="left" vertical="center" wrapText="1"/>
    </xf>
    <xf numFmtId="0" fontId="64" fillId="0" borderId="19" xfId="0" applyFont="1" applyBorder="1" applyAlignment="1">
      <alignment horizontal="center" vertical="center" wrapText="1"/>
    </xf>
    <xf numFmtId="0" fontId="12" fillId="0" borderId="0" xfId="0" applyFont="1" applyAlignment="1">
      <alignment horizontal="center"/>
    </xf>
    <xf numFmtId="183" fontId="64" fillId="0" borderId="19" xfId="0" applyNumberFormat="1" applyFont="1" applyBorder="1" applyAlignment="1" quotePrefix="1">
      <alignment horizontal="left" vertical="center"/>
    </xf>
    <xf numFmtId="180" fontId="1" fillId="8" borderId="1" xfId="0" applyNumberFormat="1"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horizontal="center" vertical="center"/>
    </xf>
    <xf numFmtId="178" fontId="0" fillId="0" borderId="1" xfId="0" applyNumberFormat="1" applyBorder="1" applyAlignment="1">
      <alignment horizontal="center" vertical="center"/>
    </xf>
    <xf numFmtId="0" fontId="0" fillId="0" borderId="1" xfId="0" applyBorder="1" applyAlignment="1">
      <alignment horizontal="center" vertical="center"/>
    </xf>
    <xf numFmtId="0" fontId="2" fillId="8" borderId="1" xfId="0" applyFont="1" applyFill="1" applyBorder="1" applyAlignment="1" quotePrefix="1">
      <alignment horizontal="center" vertical="center" wrapText="1"/>
    </xf>
    <xf numFmtId="0" fontId="2" fillId="8" borderId="2" xfId="0" applyFont="1" applyFill="1" applyBorder="1" applyAlignment="1" applyProtection="1">
      <alignment horizontal="center" vertical="center"/>
      <protection locked="0"/>
    </xf>
    <xf numFmtId="1" fontId="18" fillId="11" borderId="1" xfId="0" applyNumberFormat="1" applyFont="1" applyFill="1" applyBorder="1" applyAlignment="1" applyProtection="1">
      <alignment/>
      <protection locked="0"/>
    </xf>
    <xf numFmtId="0" fontId="37" fillId="0" borderId="0" xfId="0" applyFont="1" applyFill="1" applyBorder="1" applyAlignment="1">
      <alignment horizontal="right"/>
    </xf>
    <xf numFmtId="0" fontId="19" fillId="0" borderId="0" xfId="0" applyFont="1" applyBorder="1" applyAlignment="1">
      <alignment horizontal="right"/>
    </xf>
    <xf numFmtId="0" fontId="19" fillId="0" borderId="0" xfId="0" applyFont="1" applyBorder="1" applyAlignment="1">
      <alignment horizontal="center"/>
    </xf>
    <xf numFmtId="0" fontId="19" fillId="0" borderId="1" xfId="0" applyFont="1" applyBorder="1" applyAlignment="1">
      <alignment horizontal="left"/>
    </xf>
    <xf numFmtId="188" fontId="2" fillId="0" borderId="1" xfId="0" applyNumberFormat="1" applyFont="1" applyBorder="1" applyAlignment="1">
      <alignment/>
    </xf>
    <xf numFmtId="0" fontId="19" fillId="0" borderId="69" xfId="0" applyFont="1" applyBorder="1" applyAlignment="1">
      <alignment/>
    </xf>
    <xf numFmtId="3" fontId="19" fillId="0" borderId="70" xfId="0" applyNumberFormat="1" applyFont="1" applyFill="1" applyBorder="1" applyAlignment="1">
      <alignment/>
    </xf>
    <xf numFmtId="0" fontId="8" fillId="0" borderId="1" xfId="0" applyFont="1" applyFill="1" applyBorder="1" applyAlignment="1">
      <alignment horizontal="center"/>
    </xf>
    <xf numFmtId="0" fontId="19" fillId="0" borderId="1" xfId="0" applyFont="1" applyBorder="1" applyAlignment="1">
      <alignment horizontal="right"/>
    </xf>
    <xf numFmtId="3" fontId="19" fillId="0" borderId="69" xfId="0" applyNumberFormat="1" applyFont="1" applyFill="1" applyBorder="1" applyAlignment="1">
      <alignment/>
    </xf>
    <xf numFmtId="0" fontId="68" fillId="0" borderId="39" xfId="0" applyFont="1" applyBorder="1" applyAlignment="1">
      <alignment horizontal="center" vertical="center" wrapText="1"/>
    </xf>
    <xf numFmtId="0" fontId="68" fillId="0" borderId="126" xfId="0" applyFont="1" applyBorder="1" applyAlignment="1">
      <alignment horizontal="center" vertical="center" wrapText="1"/>
    </xf>
    <xf numFmtId="0" fontId="2" fillId="17" borderId="70" xfId="0" applyFont="1" applyFill="1" applyBorder="1" applyAlignment="1" applyProtection="1">
      <alignment horizontal="center" vertical="center"/>
      <protection locked="0"/>
    </xf>
    <xf numFmtId="0" fontId="2" fillId="17" borderId="1" xfId="0" applyFont="1" applyFill="1" applyBorder="1" applyAlignment="1" applyProtection="1">
      <alignment horizontal="center" vertical="center"/>
      <protection locked="0"/>
    </xf>
    <xf numFmtId="0" fontId="2" fillId="0" borderId="1" xfId="0" applyFont="1" applyFill="1" applyBorder="1" applyAlignment="1" quotePrefix="1">
      <alignment horizontal="center" vertical="center" wrapText="1"/>
    </xf>
    <xf numFmtId="9" fontId="1" fillId="17"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2" fontId="1" fillId="17" borderId="1" xfId="0" applyNumberFormat="1" applyFont="1" applyFill="1" applyBorder="1" applyAlignment="1">
      <alignment horizontal="center" vertical="center"/>
    </xf>
    <xf numFmtId="9"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0" fillId="18" borderId="1" xfId="0" applyFill="1" applyBorder="1" applyAlignment="1">
      <alignment/>
    </xf>
    <xf numFmtId="3" fontId="1" fillId="18" borderId="13" xfId="0" applyNumberFormat="1" applyFont="1" applyFill="1" applyBorder="1" applyAlignment="1">
      <alignment/>
    </xf>
    <xf numFmtId="2" fontId="1" fillId="18" borderId="19" xfId="0" applyNumberFormat="1" applyFont="1" applyFill="1" applyBorder="1" applyAlignment="1">
      <alignment horizontal="center" vertical="center"/>
    </xf>
    <xf numFmtId="183" fontId="1" fillId="18" borderId="19" xfId="0" applyNumberFormat="1" applyFont="1" applyFill="1" applyBorder="1" applyAlignment="1">
      <alignment horizontal="center" vertical="center"/>
    </xf>
    <xf numFmtId="1" fontId="1" fillId="18" borderId="19" xfId="0" applyNumberFormat="1" applyFont="1" applyFill="1" applyBorder="1" applyAlignment="1">
      <alignment horizontal="center" vertical="center"/>
    </xf>
    <xf numFmtId="178" fontId="1" fillId="18" borderId="25" xfId="0" applyNumberFormat="1" applyFont="1" applyFill="1" applyBorder="1" applyAlignment="1" applyProtection="1">
      <alignment/>
      <protection locked="0"/>
    </xf>
    <xf numFmtId="187" fontId="1" fillId="18" borderId="25" xfId="0" applyNumberFormat="1" applyFont="1" applyFill="1" applyBorder="1" applyAlignment="1" applyProtection="1">
      <alignment/>
      <protection locked="0"/>
    </xf>
    <xf numFmtId="9" fontId="3" fillId="18" borderId="25" xfId="0" applyNumberFormat="1" applyFont="1" applyFill="1" applyBorder="1" applyAlignment="1" applyProtection="1">
      <alignment vertical="center"/>
      <protection locked="0"/>
    </xf>
    <xf numFmtId="9" fontId="1" fillId="8" borderId="1" xfId="0" applyNumberFormat="1" applyFont="1" applyFill="1" applyBorder="1" applyAlignment="1">
      <alignment horizontal="center" vertical="center"/>
    </xf>
    <xf numFmtId="9" fontId="1" fillId="19" borderId="1" xfId="0" applyNumberFormat="1" applyFont="1" applyFill="1" applyBorder="1" applyAlignment="1">
      <alignment horizontal="center"/>
    </xf>
    <xf numFmtId="2" fontId="1" fillId="18" borderId="1" xfId="0" applyNumberFormat="1" applyFont="1" applyFill="1" applyBorder="1" applyAlignment="1">
      <alignment/>
    </xf>
    <xf numFmtId="180" fontId="1" fillId="11" borderId="1" xfId="0" applyNumberFormat="1" applyFont="1" applyFill="1" applyBorder="1" applyAlignment="1" applyProtection="1">
      <alignment horizontal="center"/>
      <protection locked="0"/>
    </xf>
    <xf numFmtId="180" fontId="1" fillId="18"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3" fillId="0" borderId="0" xfId="0" applyFont="1" applyAlignment="1">
      <alignment horizontal="center"/>
    </xf>
    <xf numFmtId="9" fontId="35" fillId="0" borderId="0" xfId="0" applyNumberFormat="1" applyFont="1" applyAlignment="1">
      <alignment/>
    </xf>
    <xf numFmtId="0" fontId="2" fillId="0" borderId="0" xfId="0" applyFont="1" applyAlignment="1">
      <alignment horizontal="center"/>
    </xf>
    <xf numFmtId="9" fontId="8" fillId="0" borderId="0" xfId="0" applyNumberFormat="1" applyFont="1" applyAlignment="1">
      <alignment/>
    </xf>
    <xf numFmtId="0" fontId="115" fillId="0" borderId="1" xfId="0" applyFont="1" applyFill="1" applyBorder="1" applyAlignment="1">
      <alignment horizontal="center" vertical="center" wrapText="1"/>
    </xf>
    <xf numFmtId="0" fontId="20" fillId="0" borderId="4" xfId="0" applyFont="1" applyBorder="1" applyAlignment="1">
      <alignment/>
    </xf>
    <xf numFmtId="187" fontId="69" fillId="5" borderId="69" xfId="0" applyNumberFormat="1" applyFont="1" applyFill="1" applyBorder="1" applyAlignment="1">
      <alignment/>
    </xf>
    <xf numFmtId="187" fontId="69" fillId="5" borderId="3" xfId="0" applyNumberFormat="1" applyFont="1" applyFill="1" applyBorder="1" applyAlignment="1">
      <alignment/>
    </xf>
    <xf numFmtId="187" fontId="69" fillId="5" borderId="70" xfId="0" applyNumberFormat="1" applyFont="1" applyFill="1" applyBorder="1" applyAlignment="1">
      <alignment/>
    </xf>
    <xf numFmtId="0" fontId="0" fillId="0" borderId="0" xfId="0" applyFill="1" applyBorder="1" applyAlignment="1">
      <alignment/>
    </xf>
    <xf numFmtId="188" fontId="1" fillId="0" borderId="0" xfId="0" applyNumberFormat="1" applyFont="1" applyFill="1" applyBorder="1" applyAlignment="1">
      <alignment/>
    </xf>
    <xf numFmtId="0" fontId="1" fillId="0" borderId="0" xfId="0" applyFont="1" applyFill="1" applyBorder="1" applyAlignment="1">
      <alignment/>
    </xf>
    <xf numFmtId="0" fontId="0" fillId="0" borderId="0" xfId="0" applyBorder="1" applyAlignment="1">
      <alignment horizontal="left" vertical="center" textRotation="180"/>
    </xf>
    <xf numFmtId="0" fontId="0" fillId="0" borderId="0" xfId="0" applyAlignment="1" applyProtection="1">
      <alignment/>
      <protection locked="0"/>
    </xf>
    <xf numFmtId="0" fontId="11" fillId="0" borderId="0" xfId="0" applyFont="1" applyBorder="1" applyAlignment="1">
      <alignment vertical="center"/>
    </xf>
    <xf numFmtId="0" fontId="12" fillId="0" borderId="0" xfId="0" applyFont="1" applyBorder="1" applyAlignment="1">
      <alignment horizontal="center" vertical="center" wrapText="1"/>
    </xf>
    <xf numFmtId="178" fontId="1" fillId="0" borderId="0" xfId="0" applyNumberFormat="1" applyFont="1" applyFill="1" applyBorder="1" applyAlignment="1" applyProtection="1">
      <alignment/>
      <protection locked="0"/>
    </xf>
    <xf numFmtId="179" fontId="12" fillId="0" borderId="0"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protection locked="0"/>
    </xf>
    <xf numFmtId="9" fontId="3" fillId="0" borderId="0" xfId="0" applyNumberFormat="1" applyFont="1" applyFill="1" applyBorder="1" applyAlignment="1" applyProtection="1">
      <alignment vertical="center"/>
      <protection locked="0"/>
    </xf>
    <xf numFmtId="3" fontId="1" fillId="0" borderId="5" xfId="0" applyNumberFormat="1" applyFont="1" applyFill="1" applyBorder="1" applyAlignment="1">
      <alignment/>
    </xf>
    <xf numFmtId="0" fontId="8" fillId="0" borderId="73" xfId="0" applyFont="1" applyFill="1" applyBorder="1" applyAlignment="1">
      <alignment horizontal="center" vertical="center" wrapText="1"/>
    </xf>
    <xf numFmtId="0" fontId="8" fillId="0" borderId="5" xfId="0" applyFont="1" applyFill="1" applyBorder="1" applyAlignment="1">
      <alignment horizontal="center" vertical="center" wrapText="1"/>
    </xf>
    <xf numFmtId="9" fontId="2" fillId="7" borderId="127" xfId="0" applyNumberFormat="1" applyFont="1" applyFill="1" applyBorder="1" applyAlignment="1">
      <alignment horizontal="center"/>
    </xf>
    <xf numFmtId="3" fontId="19" fillId="0" borderId="106" xfId="0" applyNumberFormat="1" applyFont="1" applyFill="1" applyBorder="1" applyAlignment="1">
      <alignment/>
    </xf>
    <xf numFmtId="0" fontId="1" fillId="0" borderId="128" xfId="0" applyFont="1" applyFill="1" applyBorder="1" applyAlignment="1" applyProtection="1">
      <alignment horizontal="center"/>
      <protection locked="0"/>
    </xf>
    <xf numFmtId="0" fontId="8" fillId="0" borderId="73" xfId="0" applyFont="1" applyFill="1" applyBorder="1" applyAlignment="1">
      <alignment horizontal="center"/>
    </xf>
    <xf numFmtId="0" fontId="8" fillId="0" borderId="27" xfId="0" applyFont="1" applyFill="1" applyBorder="1" applyAlignment="1">
      <alignment horizontal="center"/>
    </xf>
    <xf numFmtId="0" fontId="8" fillId="0" borderId="5" xfId="0" applyFont="1" applyFill="1" applyBorder="1" applyAlignment="1">
      <alignment horizontal="center"/>
    </xf>
    <xf numFmtId="9" fontId="1" fillId="19" borderId="5" xfId="0" applyNumberFormat="1" applyFont="1" applyFill="1" applyBorder="1" applyAlignment="1">
      <alignment horizontal="center"/>
    </xf>
    <xf numFmtId="0" fontId="1" fillId="0" borderId="2" xfId="0" applyFont="1" applyFill="1" applyBorder="1" applyAlignment="1">
      <alignment/>
    </xf>
    <xf numFmtId="0" fontId="1" fillId="0" borderId="1" xfId="0" applyFont="1" applyFill="1" applyBorder="1" applyAlignment="1">
      <alignment/>
    </xf>
    <xf numFmtId="0" fontId="76" fillId="0" borderId="110" xfId="0" applyFont="1" applyBorder="1" applyAlignment="1">
      <alignment horizontal="center" vertical="center"/>
    </xf>
    <xf numFmtId="187" fontId="1" fillId="0" borderId="0" xfId="0" applyNumberFormat="1" applyFont="1" applyFill="1" applyBorder="1" applyAlignment="1" applyProtection="1">
      <alignment/>
      <protection locked="0"/>
    </xf>
    <xf numFmtId="1" fontId="67" fillId="4" borderId="0" xfId="0" applyNumberFormat="1" applyFont="1" applyFill="1" applyBorder="1" applyAlignment="1">
      <alignment horizontal="center" vertical="center"/>
    </xf>
    <xf numFmtId="187" fontId="67" fillId="4" borderId="0" xfId="0" applyNumberFormat="1" applyFont="1" applyFill="1" applyBorder="1" applyAlignment="1">
      <alignment horizontal="center" vertical="center"/>
    </xf>
    <xf numFmtId="9" fontId="67" fillId="4" borderId="0" xfId="0" applyNumberFormat="1" applyFont="1" applyFill="1" applyBorder="1" applyAlignment="1">
      <alignment horizontal="center" vertical="center"/>
    </xf>
    <xf numFmtId="0" fontId="67" fillId="4" borderId="0" xfId="0" applyFont="1" applyFill="1" applyBorder="1" applyAlignment="1">
      <alignment horizontal="center" vertical="center"/>
    </xf>
    <xf numFmtId="188" fontId="67" fillId="4" borderId="0" xfId="0" applyNumberFormat="1" applyFont="1" applyFill="1" applyBorder="1" applyAlignment="1">
      <alignment horizontal="center" vertical="center"/>
    </xf>
    <xf numFmtId="0" fontId="15" fillId="3" borderId="0" xfId="0" applyFont="1" applyFill="1" applyBorder="1" applyAlignment="1">
      <alignment horizontal="center" vertical="center" wrapText="1"/>
    </xf>
    <xf numFmtId="0" fontId="62" fillId="0" borderId="0" xfId="0" applyFont="1" applyFill="1" applyBorder="1" applyAlignment="1">
      <alignment horizontal="center" vertical="center"/>
    </xf>
    <xf numFmtId="198" fontId="2" fillId="0" borderId="0" xfId="0" applyNumberFormat="1" applyFont="1" applyFill="1" applyBorder="1" applyAlignment="1">
      <alignment horizontal="center"/>
    </xf>
    <xf numFmtId="0" fontId="104" fillId="0" borderId="110" xfId="0" applyFont="1" applyBorder="1" applyAlignment="1">
      <alignment horizontal="center" vertical="center"/>
    </xf>
    <xf numFmtId="3" fontId="0" fillId="0" borderId="1" xfId="0" applyNumberFormat="1" applyBorder="1" applyAlignment="1">
      <alignment horizontal="center"/>
    </xf>
    <xf numFmtId="3" fontId="0" fillId="0" borderId="1" xfId="0" applyNumberFormat="1" applyBorder="1" applyAlignment="1">
      <alignment horizontal="center" vertical="center"/>
    </xf>
    <xf numFmtId="0" fontId="16" fillId="0" borderId="0" xfId="0" applyFont="1" applyFill="1" applyBorder="1" applyAlignment="1">
      <alignment horizontal="center" vertical="center"/>
    </xf>
    <xf numFmtId="179" fontId="0" fillId="0" borderId="1" xfId="0" applyNumberFormat="1" applyBorder="1" applyAlignment="1">
      <alignment horizontal="center" vertical="center"/>
    </xf>
    <xf numFmtId="0" fontId="98" fillId="0" borderId="27" xfId="0" applyFont="1" applyBorder="1" applyAlignment="1">
      <alignment/>
    </xf>
    <xf numFmtId="3" fontId="0" fillId="0" borderId="129" xfId="0" applyNumberFormat="1" applyBorder="1" applyAlignment="1">
      <alignment/>
    </xf>
    <xf numFmtId="3" fontId="0" fillId="0" borderId="84" xfId="0" applyNumberFormat="1" applyBorder="1" applyAlignment="1">
      <alignment/>
    </xf>
    <xf numFmtId="3" fontId="0" fillId="0" borderId="40" xfId="0" applyNumberFormat="1" applyBorder="1" applyAlignment="1">
      <alignment/>
    </xf>
    <xf numFmtId="0" fontId="0" fillId="0" borderId="101" xfId="0" applyBorder="1" applyAlignment="1">
      <alignment/>
    </xf>
    <xf numFmtId="0" fontId="0" fillId="0" borderId="92" xfId="0" applyBorder="1" applyAlignment="1">
      <alignment/>
    </xf>
    <xf numFmtId="0" fontId="0" fillId="0" borderId="100" xfId="0" applyBorder="1" applyAlignment="1">
      <alignment/>
    </xf>
    <xf numFmtId="0" fontId="17" fillId="0" borderId="2" xfId="0" applyFont="1" applyFill="1" applyBorder="1" applyAlignment="1">
      <alignment/>
    </xf>
    <xf numFmtId="0" fontId="0" fillId="0" borderId="0" xfId="0" applyFont="1" applyFill="1" applyBorder="1" applyAlignment="1">
      <alignment/>
    </xf>
    <xf numFmtId="0" fontId="17" fillId="0" borderId="27" xfId="0" applyFont="1" applyFill="1" applyBorder="1" applyAlignment="1">
      <alignment/>
    </xf>
    <xf numFmtId="0" fontId="0" fillId="0" borderId="130" xfId="0" applyBorder="1" applyAlignment="1">
      <alignment/>
    </xf>
    <xf numFmtId="3" fontId="1" fillId="0" borderId="84" xfId="0" applyNumberFormat="1" applyFont="1" applyBorder="1" applyAlignment="1">
      <alignment/>
    </xf>
    <xf numFmtId="3" fontId="1" fillId="0" borderId="40" xfId="0" applyNumberFormat="1" applyFont="1" applyBorder="1" applyAlignment="1">
      <alignment/>
    </xf>
    <xf numFmtId="0" fontId="0" fillId="0" borderId="107" xfId="0" applyBorder="1" applyAlignment="1">
      <alignment/>
    </xf>
    <xf numFmtId="0" fontId="0" fillId="0" borderId="97" xfId="0" applyBorder="1" applyAlignment="1">
      <alignment/>
    </xf>
    <xf numFmtId="0" fontId="0" fillId="0" borderId="131" xfId="0" applyBorder="1" applyAlignment="1">
      <alignment/>
    </xf>
    <xf numFmtId="0" fontId="0" fillId="0" borderId="132" xfId="0" applyBorder="1" applyAlignment="1">
      <alignment/>
    </xf>
    <xf numFmtId="0" fontId="0" fillId="0" borderId="4" xfId="0" applyFill="1" applyBorder="1" applyAlignment="1">
      <alignment/>
    </xf>
    <xf numFmtId="0" fontId="1" fillId="0" borderId="5" xfId="0" applyFont="1" applyFill="1" applyBorder="1" applyAlignment="1">
      <alignment/>
    </xf>
    <xf numFmtId="0" fontId="0" fillId="0" borderId="89" xfId="0" applyFont="1" applyFill="1" applyBorder="1" applyAlignment="1">
      <alignment/>
    </xf>
    <xf numFmtId="0" fontId="0" fillId="0" borderId="94" xfId="0" applyFont="1" applyFill="1" applyBorder="1" applyAlignment="1">
      <alignment/>
    </xf>
    <xf numFmtId="0" fontId="0" fillId="0" borderId="99" xfId="0" applyFont="1" applyFill="1" applyBorder="1" applyAlignment="1">
      <alignment/>
    </xf>
    <xf numFmtId="184" fontId="2" fillId="0" borderId="1" xfId="0" applyNumberFormat="1" applyFont="1" applyBorder="1" applyAlignment="1">
      <alignment/>
    </xf>
    <xf numFmtId="0" fontId="63" fillId="0" borderId="52" xfId="0" applyFont="1" applyBorder="1" applyAlignment="1">
      <alignment horizontal="center"/>
    </xf>
    <xf numFmtId="198" fontId="2" fillId="0" borderId="69" xfId="0" applyNumberFormat="1" applyFont="1" applyFill="1" applyBorder="1" applyAlignment="1">
      <alignment horizontal="center" vertical="center" wrapText="1"/>
    </xf>
    <xf numFmtId="198" fontId="2" fillId="0" borderId="3" xfId="0" applyNumberFormat="1" applyFont="1" applyFill="1" applyBorder="1" applyAlignment="1">
      <alignment horizontal="center" vertical="center" wrapText="1"/>
    </xf>
    <xf numFmtId="198" fontId="2" fillId="0" borderId="131" xfId="0" applyNumberFormat="1" applyFont="1" applyFill="1" applyBorder="1" applyAlignment="1">
      <alignment horizontal="center" vertical="center" wrapText="1"/>
    </xf>
    <xf numFmtId="0" fontId="16" fillId="3" borderId="84" xfId="0" applyFont="1" applyFill="1" applyBorder="1" applyAlignment="1">
      <alignment horizontal="center" vertical="center"/>
    </xf>
    <xf numFmtId="0" fontId="61" fillId="3" borderId="82" xfId="0" applyFont="1" applyFill="1" applyBorder="1" applyAlignment="1">
      <alignment horizontal="center" vertical="center"/>
    </xf>
    <xf numFmtId="0" fontId="62" fillId="3" borderId="83" xfId="0" applyFont="1" applyFill="1" applyBorder="1" applyAlignment="1">
      <alignment horizontal="center" vertical="center"/>
    </xf>
    <xf numFmtId="0" fontId="62" fillId="3" borderId="84" xfId="0" applyFont="1" applyFill="1" applyBorder="1" applyAlignment="1">
      <alignment horizontal="center" vertical="center"/>
    </xf>
    <xf numFmtId="0" fontId="70" fillId="0" borderId="0" xfId="0" applyFont="1" applyAlignment="1">
      <alignment horizontal="right" vertical="center"/>
    </xf>
    <xf numFmtId="0" fontId="35" fillId="0" borderId="4" xfId="0" applyFont="1" applyBorder="1" applyAlignment="1">
      <alignment horizontal="left" vertical="center" wrapText="1"/>
    </xf>
    <xf numFmtId="0" fontId="35" fillId="0" borderId="6" xfId="0" applyFont="1" applyBorder="1" applyAlignment="1">
      <alignment horizontal="left" vertical="center" wrapText="1"/>
    </xf>
    <xf numFmtId="0" fontId="8" fillId="0" borderId="1" xfId="0" applyFont="1" applyBorder="1" applyAlignment="1">
      <alignment horizontal="center" vertical="center" wrapText="1"/>
    </xf>
    <xf numFmtId="0" fontId="63" fillId="0" borderId="133" xfId="0" applyFont="1" applyBorder="1" applyAlignment="1">
      <alignment horizontal="center"/>
    </xf>
    <xf numFmtId="0" fontId="68" fillId="0" borderId="126" xfId="0" applyFont="1" applyBorder="1" applyAlignment="1">
      <alignment horizontal="center" vertical="center"/>
    </xf>
    <xf numFmtId="0" fontId="76" fillId="0" borderId="111" xfId="0" applyFont="1" applyBorder="1" applyAlignment="1" quotePrefix="1">
      <alignment horizontal="center" vertical="center" wrapText="1"/>
    </xf>
    <xf numFmtId="0" fontId="76" fillId="0" borderId="110" xfId="0" applyFont="1" applyBorder="1" applyAlignment="1">
      <alignment horizontal="center" vertical="center" wrapText="1"/>
    </xf>
    <xf numFmtId="0" fontId="76" fillId="0" borderId="112" xfId="0" applyFont="1" applyBorder="1" applyAlignment="1">
      <alignment horizontal="center" vertical="center" wrapText="1"/>
    </xf>
    <xf numFmtId="0" fontId="3" fillId="0" borderId="0" xfId="0" applyFont="1" applyAlignment="1">
      <alignment horizontal="center" vertical="center"/>
    </xf>
    <xf numFmtId="0" fontId="34" fillId="0" borderId="0" xfId="0" applyFont="1" applyAlignment="1">
      <alignment horizontal="center"/>
    </xf>
    <xf numFmtId="0" fontId="15" fillId="3" borderId="82" xfId="0" applyFont="1" applyFill="1" applyBorder="1" applyAlignment="1">
      <alignment horizontal="center" vertical="center"/>
    </xf>
    <xf numFmtId="0" fontId="16" fillId="3" borderId="83" xfId="0" applyFont="1" applyFill="1" applyBorder="1" applyAlignment="1">
      <alignment horizontal="center" vertical="center"/>
    </xf>
    <xf numFmtId="0" fontId="104" fillId="0" borderId="111" xfId="0" applyFont="1" applyBorder="1" applyAlignment="1" quotePrefix="1">
      <alignment horizontal="center" vertical="center"/>
    </xf>
    <xf numFmtId="0" fontId="104" fillId="0" borderId="110" xfId="0" applyFont="1" applyBorder="1" applyAlignment="1">
      <alignment horizontal="center" vertical="center"/>
    </xf>
    <xf numFmtId="0" fontId="104" fillId="0" borderId="112" xfId="0" applyFont="1" applyBorder="1" applyAlignment="1">
      <alignment horizontal="center" vertical="center"/>
    </xf>
    <xf numFmtId="0" fontId="68" fillId="0" borderId="0" xfId="0" applyFont="1" applyBorder="1" applyAlignment="1">
      <alignment horizontal="center" vertical="center" wrapText="1"/>
    </xf>
    <xf numFmtId="0" fontId="68" fillId="0" borderId="40" xfId="0" applyFont="1" applyBorder="1" applyAlignment="1">
      <alignment horizontal="center" vertical="center" wrapText="1"/>
    </xf>
    <xf numFmtId="0" fontId="76" fillId="0" borderId="111" xfId="0" applyFont="1" applyBorder="1" applyAlignment="1" quotePrefix="1">
      <alignment horizontal="center" vertical="center"/>
    </xf>
    <xf numFmtId="0" fontId="76" fillId="0" borderId="110" xfId="0" applyFont="1" applyBorder="1" applyAlignment="1">
      <alignment horizontal="center" vertical="center"/>
    </xf>
    <xf numFmtId="0" fontId="76" fillId="0" borderId="112" xfId="0" applyFont="1" applyBorder="1" applyAlignment="1">
      <alignment horizontal="center" vertical="center"/>
    </xf>
    <xf numFmtId="0" fontId="75" fillId="9" borderId="134" xfId="0" applyFont="1" applyFill="1" applyBorder="1" applyAlignment="1">
      <alignment horizontal="center"/>
    </xf>
    <xf numFmtId="0" fontId="75" fillId="9" borderId="135" xfId="0" applyFont="1" applyFill="1" applyBorder="1" applyAlignment="1">
      <alignment horizontal="center"/>
    </xf>
    <xf numFmtId="0" fontId="75" fillId="9" borderId="136" xfId="0" applyFont="1" applyFill="1" applyBorder="1" applyAlignment="1">
      <alignment horizontal="center"/>
    </xf>
    <xf numFmtId="0" fontId="59" fillId="5" borderId="87" xfId="20" applyFill="1" applyBorder="1" applyAlignment="1">
      <alignment horizontal="center"/>
    </xf>
    <xf numFmtId="0" fontId="68" fillId="0" borderId="39" xfId="0" applyFont="1" applyBorder="1" applyAlignment="1">
      <alignment horizontal="center" vertical="center"/>
    </xf>
    <xf numFmtId="0" fontId="68" fillId="0" borderId="0" xfId="0" applyFont="1" applyBorder="1" applyAlignment="1">
      <alignment horizontal="center" vertical="center"/>
    </xf>
    <xf numFmtId="0" fontId="68" fillId="0" borderId="39" xfId="0" applyFont="1" applyBorder="1" applyAlignment="1">
      <alignment horizontal="center" vertical="center" wrapText="1"/>
    </xf>
    <xf numFmtId="0" fontId="68" fillId="0" borderId="126" xfId="0" applyFont="1" applyBorder="1" applyAlignment="1">
      <alignment horizontal="center" vertical="center" wrapText="1"/>
    </xf>
    <xf numFmtId="0" fontId="74" fillId="20" borderId="136" xfId="0" applyFont="1" applyFill="1" applyBorder="1" applyAlignment="1">
      <alignment horizontal="center"/>
    </xf>
    <xf numFmtId="0" fontId="0" fillId="5" borderId="0" xfId="0" applyFill="1" applyAlignment="1">
      <alignment horizontal="center"/>
    </xf>
    <xf numFmtId="0" fontId="74" fillId="20" borderId="134" xfId="0" applyFont="1" applyFill="1" applyBorder="1" applyAlignment="1">
      <alignment horizontal="center"/>
    </xf>
    <xf numFmtId="0" fontId="74" fillId="20" borderId="135" xfId="0" applyFont="1" applyFill="1" applyBorder="1" applyAlignment="1">
      <alignment horizontal="center"/>
    </xf>
    <xf numFmtId="179" fontId="0" fillId="0" borderId="1" xfId="0" applyNumberFormat="1" applyBorder="1" applyAlignment="1">
      <alignment horizontal="center"/>
    </xf>
    <xf numFmtId="187" fontId="0" fillId="18" borderId="1" xfId="0" applyNumberFormat="1" applyFill="1" applyBorder="1" applyAlignment="1">
      <alignment/>
    </xf>
    <xf numFmtId="187" fontId="0" fillId="18" borderId="69" xfId="0" applyNumberFormat="1" applyFill="1" applyBorder="1" applyAlignment="1">
      <alignment/>
    </xf>
    <xf numFmtId="187" fontId="0" fillId="18" borderId="3" xfId="0" applyNumberFormat="1" applyFill="1" applyBorder="1" applyAlignment="1">
      <alignment/>
    </xf>
    <xf numFmtId="187" fontId="0" fillId="18" borderId="70" xfId="0" applyNumberFormat="1" applyFill="1" applyBorder="1" applyAlignment="1">
      <alignment/>
    </xf>
    <xf numFmtId="3" fontId="37" fillId="18" borderId="0" xfId="0" applyNumberFormat="1" applyFont="1" applyFill="1" applyAlignment="1">
      <alignment vertical="center"/>
    </xf>
    <xf numFmtId="3" fontId="9" fillId="18" borderId="0" xfId="0" applyNumberFormat="1" applyFont="1" applyFill="1" applyAlignment="1">
      <alignment vertical="center"/>
    </xf>
    <xf numFmtId="187" fontId="20" fillId="18" borderId="1" xfId="0" applyNumberFormat="1" applyFont="1" applyFill="1" applyBorder="1" applyAlignment="1">
      <alignment/>
    </xf>
    <xf numFmtId="0" fontId="35" fillId="5" borderId="0" xfId="0" applyFont="1" applyFill="1" applyAlignment="1">
      <alignment horizontal="center"/>
    </xf>
    <xf numFmtId="0" fontId="65" fillId="5" borderId="0" xfId="0" applyFont="1" applyFill="1" applyAlignment="1">
      <alignment horizontal="center"/>
    </xf>
    <xf numFmtId="49" fontId="65" fillId="5" borderId="0" xfId="0" applyNumberFormat="1" applyFont="1" applyFill="1" applyAlignment="1">
      <alignment horizontal="center"/>
    </xf>
    <xf numFmtId="0" fontId="2" fillId="5" borderId="69"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70" xfId="0" applyFont="1" applyFill="1" applyBorder="1" applyAlignment="1">
      <alignment horizontal="center" vertical="center"/>
    </xf>
    <xf numFmtId="198" fontId="2" fillId="0" borderId="70" xfId="0" applyNumberFormat="1" applyFont="1" applyFill="1" applyBorder="1" applyAlignment="1">
      <alignment horizontal="center" vertical="center" wrapText="1"/>
    </xf>
    <xf numFmtId="179" fontId="101" fillId="0" borderId="137" xfId="0" applyNumberFormat="1" applyFont="1" applyBorder="1" applyAlignment="1">
      <alignment horizontal="center" vertical="center" wrapText="1"/>
    </xf>
    <xf numFmtId="179" fontId="101" fillId="0" borderId="138" xfId="0" applyNumberFormat="1" applyFont="1" applyBorder="1" applyAlignment="1">
      <alignment horizontal="center" vertical="center" wrapText="1"/>
    </xf>
    <xf numFmtId="179" fontId="101" fillId="0" borderId="139" xfId="0" applyNumberFormat="1" applyFont="1" applyBorder="1" applyAlignment="1">
      <alignment horizontal="center" vertical="center" wrapText="1"/>
    </xf>
    <xf numFmtId="0" fontId="47" fillId="0" borderId="133" xfId="0" applyFont="1" applyBorder="1" applyAlignment="1">
      <alignment horizontal="center"/>
    </xf>
    <xf numFmtId="0" fontId="104" fillId="0" borderId="111" xfId="0" applyFont="1" applyBorder="1" applyAlignment="1" quotePrefix="1">
      <alignment horizontal="center" vertical="center" wrapText="1"/>
    </xf>
    <xf numFmtId="0" fontId="104" fillId="0" borderId="110" xfId="0" applyFont="1" applyBorder="1" applyAlignment="1">
      <alignment horizontal="center" vertical="center" wrapText="1"/>
    </xf>
    <xf numFmtId="0" fontId="104" fillId="0" borderId="112" xfId="0" applyFont="1" applyBorder="1" applyAlignment="1">
      <alignment horizontal="center" vertical="center" wrapText="1"/>
    </xf>
    <xf numFmtId="178" fontId="22" fillId="0" borderId="4" xfId="0" applyNumberFormat="1" applyFont="1" applyBorder="1" applyAlignment="1">
      <alignment horizontal="center"/>
    </xf>
    <xf numFmtId="178" fontId="22" fillId="0" borderId="6" xfId="0" applyNumberFormat="1" applyFont="1" applyBorder="1" applyAlignment="1">
      <alignment horizontal="center"/>
    </xf>
    <xf numFmtId="178" fontId="22" fillId="0" borderId="5" xfId="0" applyNumberFormat="1" applyFont="1" applyBorder="1" applyAlignment="1">
      <alignment horizontal="center"/>
    </xf>
    <xf numFmtId="0" fontId="4" fillId="3" borderId="140" xfId="0" applyFont="1" applyFill="1" applyBorder="1" applyAlignment="1">
      <alignment horizontal="center" vertical="center"/>
    </xf>
    <xf numFmtId="0" fontId="4" fillId="3" borderId="141" xfId="0" applyFont="1" applyFill="1" applyBorder="1" applyAlignment="1">
      <alignment horizontal="center" vertical="center"/>
    </xf>
    <xf numFmtId="0" fontId="4" fillId="3" borderId="142" xfId="0" applyFont="1" applyFill="1" applyBorder="1" applyAlignment="1">
      <alignment horizontal="center" vertical="center"/>
    </xf>
    <xf numFmtId="0" fontId="4" fillId="3" borderId="143" xfId="0" applyFont="1" applyFill="1" applyBorder="1" applyAlignment="1">
      <alignment horizontal="center" vertical="center"/>
    </xf>
    <xf numFmtId="0" fontId="4" fillId="3" borderId="144" xfId="0" applyFont="1" applyFill="1" applyBorder="1" applyAlignment="1">
      <alignment horizontal="center" vertical="center"/>
    </xf>
    <xf numFmtId="0" fontId="4" fillId="3" borderId="145" xfId="0" applyFont="1" applyFill="1" applyBorder="1" applyAlignment="1">
      <alignment horizontal="center"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66" fillId="0" borderId="0" xfId="0" applyFont="1" applyAlignment="1" quotePrefix="1">
      <alignment horizontal="center" vertical="center" wrapText="1"/>
    </xf>
    <xf numFmtId="0" fontId="66" fillId="0" borderId="0" xfId="0" applyFont="1" applyAlignment="1">
      <alignment horizontal="center" vertical="center" wrapText="1"/>
    </xf>
    <xf numFmtId="0" fontId="0" fillId="0" borderId="0" xfId="0" applyBorder="1" applyAlignment="1">
      <alignment horizontal="left" vertical="center" textRotation="180"/>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applyAlignment="1">
      <alignment horizontal="left"/>
    </xf>
    <xf numFmtId="0" fontId="0" fillId="0" borderId="5" xfId="0" applyBorder="1" applyAlignment="1">
      <alignment horizontal="left"/>
    </xf>
    <xf numFmtId="0" fontId="1" fillId="0" borderId="1" xfId="0" applyFont="1" applyBorder="1" applyAlignment="1">
      <alignment horizontal="center" vertical="center" wrapText="1"/>
    </xf>
    <xf numFmtId="0" fontId="2" fillId="0" borderId="69" xfId="0" applyFont="1" applyBorder="1" applyAlignment="1">
      <alignment horizontal="center"/>
    </xf>
    <xf numFmtId="0" fontId="2" fillId="0" borderId="70" xfId="0" applyFont="1" applyBorder="1" applyAlignment="1">
      <alignment horizontal="center"/>
    </xf>
    <xf numFmtId="178" fontId="22" fillId="0" borderId="69" xfId="0" applyNumberFormat="1" applyFont="1" applyBorder="1" applyAlignment="1">
      <alignment horizontal="center"/>
    </xf>
    <xf numFmtId="178" fontId="22" fillId="0" borderId="3" xfId="0" applyNumberFormat="1" applyFont="1" applyBorder="1" applyAlignment="1">
      <alignment horizontal="center"/>
    </xf>
    <xf numFmtId="178" fontId="22" fillId="0" borderId="70" xfId="0" applyNumberFormat="1" applyFont="1" applyBorder="1" applyAlignment="1">
      <alignment horizontal="center"/>
    </xf>
    <xf numFmtId="179" fontId="22" fillId="0" borderId="69" xfId="0" applyNumberFormat="1" applyFont="1" applyBorder="1" applyAlignment="1">
      <alignment horizontal="center"/>
    </xf>
    <xf numFmtId="179" fontId="22" fillId="0" borderId="3" xfId="0" applyNumberFormat="1" applyFont="1" applyBorder="1" applyAlignment="1">
      <alignment horizontal="center"/>
    </xf>
    <xf numFmtId="179" fontId="22" fillId="0" borderId="70" xfId="0" applyNumberFormat="1" applyFont="1"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 xfId="0" applyFont="1" applyBorder="1" applyAlignment="1">
      <alignment horizont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06" fillId="0" borderId="0" xfId="0" applyFont="1" applyAlignment="1">
      <alignment horizontal="center" vertical="center"/>
    </xf>
    <xf numFmtId="0" fontId="45" fillId="0" borderId="0" xfId="0" applyFont="1" applyAlignment="1">
      <alignment horizontal="center" vertical="center"/>
    </xf>
    <xf numFmtId="0" fontId="14" fillId="0" borderId="146" xfId="0" applyFont="1" applyBorder="1" applyAlignment="1">
      <alignment horizontal="center"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125"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wrapText="1"/>
    </xf>
    <xf numFmtId="0" fontId="2" fillId="8" borderId="69" xfId="0" applyFont="1" applyFill="1" applyBorder="1" applyAlignment="1" applyProtection="1">
      <alignment horizontal="center" vertical="center"/>
      <protection locked="0"/>
    </xf>
    <xf numFmtId="0" fontId="2" fillId="8" borderId="70" xfId="0" applyFont="1" applyFill="1" applyBorder="1" applyAlignment="1" applyProtection="1">
      <alignment horizontal="center" vertical="center"/>
      <protection locked="0"/>
    </xf>
    <xf numFmtId="9" fontId="2" fillId="8" borderId="1" xfId="0" applyNumberFormat="1"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1" fillId="0" borderId="6" xfId="0" applyFont="1" applyBorder="1" applyAlignment="1">
      <alignment horizontal="center" vertical="center" wrapText="1"/>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50" xfId="0" applyFont="1" applyBorder="1" applyAlignment="1">
      <alignment horizontal="center" vertical="center"/>
    </xf>
    <xf numFmtId="0" fontId="1" fillId="0" borderId="14"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27" xfId="0" applyFont="1" applyBorder="1" applyAlignment="1" quotePrefix="1">
      <alignment horizontal="center" vertical="center"/>
    </xf>
    <xf numFmtId="0" fontId="105" fillId="0" borderId="0" xfId="0" applyFont="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Border="1" applyAlignment="1">
      <alignment horizontal="center"/>
    </xf>
    <xf numFmtId="0" fontId="0" fillId="0" borderId="5" xfId="0" applyBorder="1" applyAlignment="1">
      <alignment horizontal="left"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textRotation="180"/>
    </xf>
    <xf numFmtId="0" fontId="4" fillId="3" borderId="69" xfId="0" applyFont="1" applyFill="1" applyBorder="1" applyAlignment="1">
      <alignment horizontal="center" vertical="center"/>
    </xf>
    <xf numFmtId="0" fontId="4" fillId="3" borderId="70"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0" fillId="0" borderId="66" xfId="0" applyBorder="1" applyAlignment="1">
      <alignment horizontal="center"/>
    </xf>
    <xf numFmtId="0" fontId="66" fillId="0" borderId="0" xfId="0" applyFont="1" applyAlignment="1" quotePrefix="1">
      <alignment horizontal="center" vertical="center"/>
    </xf>
    <xf numFmtId="0" fontId="66" fillId="0" borderId="0" xfId="0" applyFont="1" applyAlignment="1">
      <alignment horizontal="center"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2" fillId="0" borderId="151" xfId="0" applyFont="1" applyBorder="1" applyAlignment="1">
      <alignment horizontal="center" vertical="center"/>
    </xf>
    <xf numFmtId="0" fontId="12" fillId="0" borderId="152" xfId="0" applyFont="1" applyBorder="1" applyAlignment="1">
      <alignment horizontal="center" vertical="center"/>
    </xf>
    <xf numFmtId="0" fontId="12" fillId="0" borderId="125" xfId="0" applyFont="1" applyBorder="1" applyAlignment="1">
      <alignment horizontal="center" vertical="center"/>
    </xf>
    <xf numFmtId="0" fontId="0" fillId="0" borderId="14" xfId="0" applyBorder="1" applyAlignment="1" quotePrefix="1">
      <alignment horizontal="center" vertical="center"/>
    </xf>
    <xf numFmtId="0" fontId="0" fillId="0" borderId="0" xfId="0" applyBorder="1" applyAlignment="1" quotePrefix="1">
      <alignment horizontal="center" vertical="center"/>
    </xf>
    <xf numFmtId="0" fontId="0" fillId="0" borderId="27" xfId="0" applyBorder="1" applyAlignment="1" quotePrefix="1">
      <alignment horizontal="center" vertical="center"/>
    </xf>
    <xf numFmtId="9" fontId="2" fillId="18" borderId="1" xfId="0" applyNumberFormat="1" applyFont="1" applyFill="1" applyBorder="1" applyAlignment="1">
      <alignment horizontal="center" vertical="center"/>
    </xf>
    <xf numFmtId="0" fontId="69" fillId="0" borderId="27" xfId="0" applyFont="1" applyBorder="1" applyAlignment="1">
      <alignment horizontal="left" vertical="center" wrapText="1"/>
    </xf>
    <xf numFmtId="0" fontId="2" fillId="17" borderId="69" xfId="0" applyFont="1" applyFill="1" applyBorder="1" applyAlignment="1" applyProtection="1">
      <alignment horizontal="center" vertical="center"/>
      <protection locked="0"/>
    </xf>
    <xf numFmtId="0" fontId="2" fillId="17" borderId="70" xfId="0" applyFont="1" applyFill="1" applyBorder="1" applyAlignment="1" applyProtection="1">
      <alignment horizontal="center" vertical="center"/>
      <protection locked="0"/>
    </xf>
    <xf numFmtId="0" fontId="1" fillId="0" borderId="7" xfId="0" applyFont="1" applyBorder="1" applyAlignment="1">
      <alignment horizontal="center" vertical="center" wrapText="1"/>
    </xf>
    <xf numFmtId="0" fontId="2" fillId="5" borderId="0" xfId="0" applyFont="1" applyFill="1" applyAlignment="1">
      <alignment horizontal="center" vertical="center"/>
    </xf>
    <xf numFmtId="0" fontId="3" fillId="5" borderId="134" xfId="0" applyFont="1" applyFill="1" applyBorder="1" applyAlignment="1">
      <alignment horizontal="center" vertical="center" wrapText="1"/>
    </xf>
    <xf numFmtId="0" fontId="3" fillId="5" borderId="135" xfId="0" applyFont="1" applyFill="1" applyBorder="1" applyAlignment="1">
      <alignment horizontal="center" vertical="center" wrapText="1"/>
    </xf>
    <xf numFmtId="0" fontId="3" fillId="5" borderId="136" xfId="0" applyFont="1" applyFill="1" applyBorder="1" applyAlignment="1">
      <alignment horizontal="center" vertical="center" wrapText="1"/>
    </xf>
    <xf numFmtId="0" fontId="1" fillId="0" borderId="0" xfId="0" applyFont="1" applyAlignment="1" quotePrefix="1">
      <alignment horizontal="center" vertical="center" wrapText="1"/>
    </xf>
    <xf numFmtId="0" fontId="1" fillId="0" borderId="0" xfId="0" applyFont="1" applyAlignment="1">
      <alignment horizontal="center" vertical="center" wrapText="1"/>
    </xf>
    <xf numFmtId="0" fontId="1" fillId="0" borderId="69" xfId="0" applyFont="1" applyBorder="1" applyAlignment="1">
      <alignment horizontal="center"/>
    </xf>
    <xf numFmtId="0" fontId="1" fillId="0" borderId="70" xfId="0" applyFont="1" applyBorder="1" applyAlignment="1">
      <alignment horizontal="center"/>
    </xf>
    <xf numFmtId="0" fontId="8" fillId="0" borderId="1" xfId="0" applyFont="1" applyFill="1" applyBorder="1" applyAlignment="1">
      <alignment horizontal="center" vertical="center" wrapText="1"/>
    </xf>
    <xf numFmtId="0" fontId="19" fillId="0" borderId="0" xfId="0" applyFont="1" applyFill="1" applyBorder="1" applyAlignment="1">
      <alignment horizontal="right" wrapText="1"/>
    </xf>
    <xf numFmtId="0" fontId="0" fillId="0" borderId="0" xfId="0" applyBorder="1" applyAlignment="1">
      <alignment wrapText="1"/>
    </xf>
    <xf numFmtId="0" fontId="1" fillId="0" borderId="6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0" xfId="0" applyFont="1" applyBorder="1" applyAlignment="1">
      <alignment horizontal="center" vertical="center" wrapText="1"/>
    </xf>
    <xf numFmtId="0" fontId="8" fillId="0" borderId="6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2" fillId="5" borderId="0" xfId="0" applyFont="1" applyFill="1" applyBorder="1" applyAlignment="1">
      <alignment horizontal="center" vertical="center"/>
    </xf>
    <xf numFmtId="0" fontId="65" fillId="5" borderId="134" xfId="0" applyFont="1" applyFill="1" applyBorder="1" applyAlignment="1">
      <alignment horizontal="center" vertical="center"/>
    </xf>
    <xf numFmtId="0" fontId="65" fillId="5" borderId="135" xfId="0" applyFont="1" applyFill="1" applyBorder="1" applyAlignment="1">
      <alignment horizontal="center" vertical="center"/>
    </xf>
    <xf numFmtId="0" fontId="65" fillId="5" borderId="136" xfId="0" applyFont="1" applyFill="1" applyBorder="1" applyAlignment="1">
      <alignment horizontal="center" vertical="center"/>
    </xf>
    <xf numFmtId="0" fontId="20" fillId="0" borderId="130"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2" xfId="0" applyFont="1" applyBorder="1" applyAlignment="1">
      <alignment horizontal="center" vertical="center" wrapText="1"/>
    </xf>
    <xf numFmtId="0" fontId="65" fillId="5" borderId="134" xfId="0" applyFont="1" applyFill="1" applyBorder="1" applyAlignment="1">
      <alignment horizontal="center"/>
    </xf>
    <xf numFmtId="0" fontId="65" fillId="5" borderId="136" xfId="0" applyFon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65" fillId="9" borderId="135" xfId="0" applyFont="1" applyFill="1" applyBorder="1" applyAlignment="1">
      <alignment horizontal="center"/>
    </xf>
    <xf numFmtId="0" fontId="65" fillId="9" borderId="136" xfId="0" applyFont="1" applyFill="1" applyBorder="1" applyAlignment="1">
      <alignment horizontal="center"/>
    </xf>
    <xf numFmtId="0" fontId="65" fillId="5" borderId="135" xfId="0" applyFont="1" applyFill="1" applyBorder="1" applyAlignment="1">
      <alignment horizontal="center"/>
    </xf>
    <xf numFmtId="0" fontId="65" fillId="5" borderId="153" xfId="0" applyFont="1" applyFill="1" applyBorder="1" applyAlignment="1">
      <alignment horizontal="center"/>
    </xf>
    <xf numFmtId="0" fontId="65" fillId="5" borderId="154" xfId="0" applyFont="1" applyFill="1" applyBorder="1" applyAlignment="1">
      <alignment horizontal="center"/>
    </xf>
    <xf numFmtId="0" fontId="65" fillId="5" borderId="155" xfId="0" applyFont="1" applyFill="1"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Font="1" applyBorder="1" applyAlignment="1">
      <alignment horizontal="left"/>
    </xf>
    <xf numFmtId="0" fontId="0" fillId="0" borderId="5" xfId="0" applyFont="1" applyBorder="1" applyAlignment="1">
      <alignment horizontal="left"/>
    </xf>
    <xf numFmtId="0" fontId="4" fillId="3" borderId="0" xfId="0" applyFont="1" applyFill="1" applyAlignment="1">
      <alignment horizontal="center" vertical="center"/>
    </xf>
    <xf numFmtId="0" fontId="7" fillId="3" borderId="0" xfId="0" applyFont="1" applyFill="1" applyAlignment="1">
      <alignment horizontal="center" vertical="center"/>
    </xf>
    <xf numFmtId="0" fontId="76" fillId="5" borderId="135" xfId="0" applyFont="1" applyFill="1" applyBorder="1" applyAlignment="1">
      <alignment horizontal="center" vertical="center"/>
    </xf>
    <xf numFmtId="0" fontId="76" fillId="5" borderId="136" xfId="0" applyFont="1" applyFill="1" applyBorder="1" applyAlignment="1">
      <alignment horizontal="center" vertical="center"/>
    </xf>
    <xf numFmtId="0" fontId="43" fillId="5" borderId="14" xfId="0" applyFont="1" applyFill="1" applyBorder="1" applyAlignment="1">
      <alignment horizontal="center"/>
    </xf>
    <xf numFmtId="0" fontId="43" fillId="5" borderId="0" xfId="0" applyFont="1" applyFill="1" applyBorder="1" applyAlignment="1">
      <alignment horizontal="center"/>
    </xf>
    <xf numFmtId="0" fontId="77" fillId="5" borderId="153" xfId="0" applyFont="1" applyFill="1" applyBorder="1" applyAlignment="1">
      <alignment horizontal="center" vertical="center"/>
    </xf>
    <xf numFmtId="0" fontId="77" fillId="5" borderId="154" xfId="0" applyFont="1" applyFill="1" applyBorder="1" applyAlignment="1">
      <alignment horizontal="center" vertical="center"/>
    </xf>
    <xf numFmtId="0" fontId="77" fillId="5" borderId="155" xfId="0" applyFont="1" applyFill="1" applyBorder="1" applyAlignment="1">
      <alignment horizontal="center" vertical="center"/>
    </xf>
    <xf numFmtId="0" fontId="77" fillId="5" borderId="134" xfId="0" applyFont="1" applyFill="1" applyBorder="1" applyAlignment="1">
      <alignment horizontal="center" vertical="center"/>
    </xf>
    <xf numFmtId="0" fontId="77" fillId="5" borderId="135" xfId="0" applyFont="1" applyFill="1" applyBorder="1" applyAlignment="1">
      <alignment horizontal="center" vertical="center"/>
    </xf>
    <xf numFmtId="0" fontId="77" fillId="5" borderId="136" xfId="0" applyFont="1" applyFill="1" applyBorder="1" applyAlignment="1">
      <alignment horizontal="center" vertical="center"/>
    </xf>
    <xf numFmtId="0" fontId="84" fillId="5" borderId="134" xfId="0" applyFont="1" applyFill="1" applyBorder="1" applyAlignment="1">
      <alignment horizontal="center" vertical="center"/>
    </xf>
    <xf numFmtId="0" fontId="84" fillId="5" borderId="135" xfId="0" applyFont="1" applyFill="1" applyBorder="1" applyAlignment="1">
      <alignment horizontal="center" vertical="center"/>
    </xf>
    <xf numFmtId="0" fontId="84" fillId="5" borderId="136" xfId="0" applyFont="1" applyFill="1" applyBorder="1" applyAlignment="1">
      <alignment horizontal="center" vertical="center"/>
    </xf>
    <xf numFmtId="0" fontId="65" fillId="5" borderId="0" xfId="0" applyFont="1" applyFill="1" applyBorder="1" applyAlignment="1">
      <alignment horizontal="center"/>
    </xf>
    <xf numFmtId="0" fontId="2" fillId="5" borderId="0" xfId="0" applyFont="1" applyFill="1" applyBorder="1" applyAlignment="1" quotePrefix="1">
      <alignment horizontal="center"/>
    </xf>
    <xf numFmtId="0" fontId="8" fillId="0" borderId="130"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2" xfId="0" applyFont="1" applyBorder="1" applyAlignment="1">
      <alignment horizontal="center" vertical="center" wrapText="1"/>
    </xf>
    <xf numFmtId="0" fontId="36" fillId="3" borderId="0" xfId="0" applyFont="1" applyFill="1" applyAlignment="1">
      <alignment horizontal="center" vertical="center"/>
    </xf>
    <xf numFmtId="0" fontId="35" fillId="5" borderId="134" xfId="0" applyFont="1" applyFill="1" applyBorder="1" applyAlignment="1">
      <alignment horizontal="center" vertical="center"/>
    </xf>
    <xf numFmtId="0" fontId="35" fillId="5" borderId="135" xfId="0" applyFont="1" applyFill="1" applyBorder="1" applyAlignment="1">
      <alignment horizontal="center" vertical="center"/>
    </xf>
    <xf numFmtId="0" fontId="35" fillId="5" borderId="136" xfId="0" applyFont="1" applyFill="1" applyBorder="1" applyAlignment="1">
      <alignment horizontal="center" vertical="center"/>
    </xf>
    <xf numFmtId="0" fontId="2" fillId="0" borderId="6" xfId="0" applyFont="1" applyBorder="1" applyAlignment="1">
      <alignment horizontal="center"/>
    </xf>
    <xf numFmtId="0" fontId="0" fillId="0" borderId="0" xfId="0" applyAlignment="1">
      <alignment horizontal="left" vertical="top" wrapText="1"/>
    </xf>
    <xf numFmtId="0" fontId="14" fillId="0" borderId="156" xfId="0" applyFont="1" applyBorder="1" applyAlignment="1">
      <alignment horizontal="center" vertical="center"/>
    </xf>
    <xf numFmtId="0" fontId="14" fillId="0" borderId="157" xfId="0" applyFont="1" applyBorder="1" applyAlignment="1">
      <alignment horizontal="center" vertical="center"/>
    </xf>
    <xf numFmtId="0" fontId="14" fillId="0" borderId="158" xfId="0" applyFont="1" applyBorder="1" applyAlignment="1">
      <alignment horizontal="center" vertical="center"/>
    </xf>
    <xf numFmtId="0" fontId="12" fillId="0" borderId="72" xfId="0" applyFont="1" applyBorder="1" applyAlignment="1">
      <alignment horizontal="right" vertical="center" wrapText="1"/>
    </xf>
    <xf numFmtId="0" fontId="12" fillId="0" borderId="125" xfId="0" applyFont="1" applyBorder="1" applyAlignment="1">
      <alignment horizontal="right" vertical="center" wrapText="1"/>
    </xf>
    <xf numFmtId="0" fontId="15" fillId="3" borderId="130" xfId="0" applyFont="1" applyFill="1" applyBorder="1" applyAlignment="1" quotePrefix="1">
      <alignment horizontal="center" vertical="center"/>
    </xf>
    <xf numFmtId="0" fontId="16" fillId="3" borderId="106" xfId="0" applyFont="1" applyFill="1" applyBorder="1" applyAlignment="1">
      <alignment horizontal="center" vertical="center"/>
    </xf>
    <xf numFmtId="0" fontId="16" fillId="3" borderId="73" xfId="0" applyFont="1" applyFill="1" applyBorder="1" applyAlignment="1">
      <alignment horizontal="center" vertical="center"/>
    </xf>
    <xf numFmtId="0" fontId="33" fillId="0" borderId="34" xfId="0" applyFont="1" applyBorder="1" applyAlignment="1" quotePrefix="1">
      <alignment horizontal="center" vertical="center"/>
    </xf>
    <xf numFmtId="0" fontId="33" fillId="0" borderId="0" xfId="0" applyFont="1" applyBorder="1" applyAlignment="1">
      <alignment horizontal="center" vertical="center"/>
    </xf>
    <xf numFmtId="0" fontId="33" fillId="0" borderId="27" xfId="0" applyFont="1" applyBorder="1" applyAlignment="1">
      <alignment horizontal="center" vertical="center"/>
    </xf>
    <xf numFmtId="0" fontId="3" fillId="5" borderId="134" xfId="0" applyFont="1" applyFill="1" applyBorder="1" applyAlignment="1">
      <alignment horizontal="center" vertical="center"/>
    </xf>
    <xf numFmtId="0" fontId="3" fillId="5" borderId="135" xfId="0" applyFont="1" applyFill="1" applyBorder="1" applyAlignment="1">
      <alignment horizontal="center" vertical="center"/>
    </xf>
    <xf numFmtId="0" fontId="3" fillId="5" borderId="136" xfId="0" applyFont="1" applyFill="1" applyBorder="1" applyAlignment="1">
      <alignment horizontal="center" vertical="center"/>
    </xf>
    <xf numFmtId="0" fontId="46" fillId="0" borderId="0" xfId="0" applyFont="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35" fillId="0" borderId="0" xfId="0" applyFont="1" applyAlignment="1">
      <alignment horizontal="center"/>
    </xf>
    <xf numFmtId="0" fontId="65" fillId="0" borderId="0" xfId="0" applyFont="1" applyAlignment="1">
      <alignment horizontal="center"/>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4" xfId="0" applyFont="1" applyBorder="1" applyAlignment="1">
      <alignment horizontal="left"/>
    </xf>
    <xf numFmtId="0" fontId="1" fillId="0" borderId="5"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i val="0"/>
        <color rgb="FFFFFFFF"/>
      </font>
      <fill>
        <patternFill>
          <bgColor rgb="FF000000"/>
        </patternFill>
      </fill>
      <border/>
    </dxf>
    <dxf>
      <font>
        <b/>
        <i val="0"/>
        <color rgb="FFFFFFFF"/>
      </font>
      <fill>
        <patternFill>
          <bgColor rgb="FFFF0000"/>
        </patternFill>
      </fill>
      <border/>
    </dxf>
    <dxf>
      <font>
        <b/>
        <i val="0"/>
      </font>
      <fill>
        <patternFill>
          <bgColor rgb="FF00FF00"/>
        </patternFill>
      </fill>
      <border/>
    </dxf>
    <dxf>
      <font>
        <b/>
        <i val="0"/>
        <color rgb="FFFFFFFF"/>
      </font>
      <fill>
        <patternFill patternType="solid">
          <bgColor rgb="FFFF0000"/>
        </patternFill>
      </fill>
      <border/>
    </dxf>
    <dxf>
      <font>
        <b/>
        <i val="0"/>
        <color rgb="FFFF00FF"/>
      </font>
      <border/>
    </dxf>
    <dxf>
      <fill>
        <patternFill>
          <bgColor rgb="FF3366FF"/>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 Id="rId2" Type="http://schemas.openxmlformats.org/officeDocument/2006/relationships/image" Target="../media/image35.jpeg" /></Relationships>
</file>

<file path=xl/charts/_rels/chart10.xml.rels><?xml version="1.0" encoding="utf-8" standalone="yes"?><Relationships xmlns="http://schemas.openxmlformats.org/package/2006/relationships"><Relationship Id="rId1" Type="http://schemas.openxmlformats.org/officeDocument/2006/relationships/image" Target="../media/image44.jpeg" /></Relationships>
</file>

<file path=xl/charts/_rels/chart11.xml.rels><?xml version="1.0" encoding="utf-8" standalone="yes"?><Relationships xmlns="http://schemas.openxmlformats.org/package/2006/relationships"><Relationship Id="rId1" Type="http://schemas.openxmlformats.org/officeDocument/2006/relationships/image" Target="../media/image45.jpeg" /></Relationships>
</file>

<file path=xl/charts/_rels/chart12.xml.rels><?xml version="1.0" encoding="utf-8" standalone="yes"?><Relationships xmlns="http://schemas.openxmlformats.org/package/2006/relationships"><Relationship Id="rId1" Type="http://schemas.openxmlformats.org/officeDocument/2006/relationships/image" Target="../media/image46.jpeg" /></Relationships>
</file>

<file path=xl/charts/_rels/chart13.xml.rels><?xml version="1.0" encoding="utf-8" standalone="yes"?><Relationships xmlns="http://schemas.openxmlformats.org/package/2006/relationships"><Relationship Id="rId1" Type="http://schemas.openxmlformats.org/officeDocument/2006/relationships/image" Target="../media/image47.jpeg" /></Relationships>
</file>

<file path=xl/charts/_rels/chart14.xml.rels><?xml version="1.0" encoding="utf-8" standalone="yes"?><Relationships xmlns="http://schemas.openxmlformats.org/package/2006/relationships"><Relationship Id="rId1" Type="http://schemas.openxmlformats.org/officeDocument/2006/relationships/image" Target="../media/image48.jpeg" /></Relationships>
</file>

<file path=xl/charts/_rels/chart15.xml.rels><?xml version="1.0" encoding="utf-8" standalone="yes"?><Relationships xmlns="http://schemas.openxmlformats.org/package/2006/relationships"><Relationship Id="rId1" Type="http://schemas.openxmlformats.org/officeDocument/2006/relationships/image" Target="../media/image49.jpeg" /></Relationships>
</file>

<file path=xl/charts/_rels/chart16.xml.rels><?xml version="1.0" encoding="utf-8" standalone="yes"?><Relationships xmlns="http://schemas.openxmlformats.org/package/2006/relationships"><Relationship Id="rId1" Type="http://schemas.openxmlformats.org/officeDocument/2006/relationships/image" Target="../media/image50.jpeg"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 Id="rId2" Type="http://schemas.openxmlformats.org/officeDocument/2006/relationships/image" Target="../media/image36.jpeg" /></Relationships>
</file>

<file path=xl/charts/_rels/chart23.xml.rels><?xml version="1.0" encoding="utf-8" standalone="yes"?><Relationships xmlns="http://schemas.openxmlformats.org/package/2006/relationships"><Relationship Id="rId1" Type="http://schemas.openxmlformats.org/officeDocument/2006/relationships/image" Target="../media/image51.jpeg"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1.xml" /><Relationship Id="rId2" Type="http://schemas.openxmlformats.org/officeDocument/2006/relationships/image" Target="../media/image52.jpeg"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2.xml" /><Relationship Id="rId2" Type="http://schemas.openxmlformats.org/officeDocument/2006/relationships/image" Target="../media/image53.jpeg" /></Relationships>
</file>

<file path=xl/charts/_rels/chart3.xml.rels><?xml version="1.0" encoding="utf-8" standalone="yes"?><Relationships xmlns="http://schemas.openxmlformats.org/package/2006/relationships"><Relationship Id="rId1" Type="http://schemas.openxmlformats.org/officeDocument/2006/relationships/image" Target="../media/image37.jpeg" /></Relationships>
</file>

<file path=xl/charts/_rels/chart4.xml.rels><?xml version="1.0" encoding="utf-8" standalone="yes"?><Relationships xmlns="http://schemas.openxmlformats.org/package/2006/relationships"><Relationship Id="rId1" Type="http://schemas.openxmlformats.org/officeDocument/2006/relationships/image" Target="../media/image38.jpeg" /></Relationships>
</file>

<file path=xl/charts/_rels/chart5.xml.rels><?xml version="1.0" encoding="utf-8" standalone="yes"?><Relationships xmlns="http://schemas.openxmlformats.org/package/2006/relationships"><Relationship Id="rId1" Type="http://schemas.openxmlformats.org/officeDocument/2006/relationships/image" Target="../media/image39.jpeg" /></Relationships>
</file>

<file path=xl/charts/_rels/chart6.xml.rels><?xml version="1.0" encoding="utf-8" standalone="yes"?><Relationships xmlns="http://schemas.openxmlformats.org/package/2006/relationships"><Relationship Id="rId1" Type="http://schemas.openxmlformats.org/officeDocument/2006/relationships/image" Target="../media/image40.jpeg" /></Relationships>
</file>

<file path=xl/charts/_rels/chart7.xml.rels><?xml version="1.0" encoding="utf-8" standalone="yes"?><Relationships xmlns="http://schemas.openxmlformats.org/package/2006/relationships"><Relationship Id="rId1" Type="http://schemas.openxmlformats.org/officeDocument/2006/relationships/image" Target="../media/image41.jpeg" /></Relationships>
</file>

<file path=xl/charts/_rels/chart8.xml.rels><?xml version="1.0" encoding="utf-8" standalone="yes"?><Relationships xmlns="http://schemas.openxmlformats.org/package/2006/relationships"><Relationship Id="rId1" Type="http://schemas.openxmlformats.org/officeDocument/2006/relationships/image" Target="../media/image42.jpeg" /></Relationships>
</file>

<file path=xl/charts/_rels/chart9.xml.rels><?xml version="1.0" encoding="utf-8" standalone="yes"?><Relationships xmlns="http://schemas.openxmlformats.org/package/2006/relationships"><Relationship Id="rId1" Type="http://schemas.openxmlformats.org/officeDocument/2006/relationships/image" Target="../media/image4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Total Monthly Cost - All health-care facilities
(Incineration)</a:t>
            </a:r>
          </a:p>
        </c:rich>
      </c:tx>
      <c:layout>
        <c:manualLayout>
          <c:xMode val="factor"/>
          <c:yMode val="factor"/>
          <c:x val="0"/>
          <c:y val="0"/>
        </c:manualLayout>
      </c:layout>
      <c:spPr>
        <a:noFill/>
        <a:ln>
          <a:noFill/>
        </a:ln>
      </c:spPr>
    </c:title>
    <c:view3D>
      <c:rotX val="2"/>
      <c:rotY val="326"/>
      <c:depthPercent val="120"/>
      <c:rAngAx val="0"/>
      <c:perspective val="25"/>
    </c:view3D>
    <c:plotArea>
      <c:layout>
        <c:manualLayout>
          <c:xMode val="edge"/>
          <c:yMode val="edge"/>
          <c:x val="0.05"/>
          <c:y val="0.2345"/>
          <c:w val="0.8395"/>
          <c:h val="0.7"/>
        </c:manualLayout>
      </c:layout>
      <c:bar3DChart>
        <c:barDir val="col"/>
        <c:grouping val="standard"/>
        <c:varyColors val="0"/>
        <c:ser>
          <c:idx val="2"/>
          <c:order val="0"/>
          <c:tx>
            <c:v>S.3 - Incinerator</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'Cost Summary'!$D$37:$D$40</c:f>
              <c:numCache>
                <c:ptCount val="4"/>
                <c:pt idx="0">
                  <c:v>0</c:v>
                </c:pt>
                <c:pt idx="1">
                  <c:v>0</c:v>
                </c:pt>
                <c:pt idx="2">
                  <c:v>0</c:v>
                </c:pt>
                <c:pt idx="3">
                  <c:v>0</c:v>
                </c:pt>
              </c:numCache>
            </c:numRef>
          </c:cat>
          <c:val>
            <c:numRef>
              <c:f>'Cost Summary'!$N$37:$N$40</c:f>
              <c:numCache>
                <c:ptCount val="4"/>
                <c:pt idx="0">
                  <c:v>0</c:v>
                </c:pt>
                <c:pt idx="1">
                  <c:v>0</c:v>
                </c:pt>
                <c:pt idx="2">
                  <c:v>0</c:v>
                </c:pt>
                <c:pt idx="3">
                  <c:v>0</c:v>
                </c:pt>
              </c:numCache>
            </c:numRef>
          </c:val>
          <c:shape val="box"/>
        </c:ser>
        <c:ser>
          <c:idx val="3"/>
          <c:order val="1"/>
          <c:tx>
            <c:v>S. 4a - Incinerator</c:v>
          </c:tx>
          <c:invertIfNegative val="0"/>
          <c:extLst>
            <c:ext xmlns:c14="http://schemas.microsoft.com/office/drawing/2007/8/2/chart" uri="{6F2FDCE9-48DA-4B69-8628-5D25D57E5C99}">
              <c14:invertSolidFillFmt>
                <c14:spPr>
                  <a:solidFill>
                    <a:srgbClr val="000000"/>
                  </a:solidFill>
                </c14:spPr>
              </c14:invertSolidFillFmt>
            </c:ext>
          </c:extLst>
          <c:val>
            <c:numRef>
              <c:f>'Cost Summary'!$Z$37:$Z$40</c:f>
              <c:numCache>
                <c:ptCount val="4"/>
                <c:pt idx="0">
                  <c:v>0</c:v>
                </c:pt>
                <c:pt idx="1">
                  <c:v>0</c:v>
                </c:pt>
                <c:pt idx="2">
                  <c:v>0</c:v>
                </c:pt>
                <c:pt idx="3">
                  <c:v>0</c:v>
                </c:pt>
              </c:numCache>
            </c:numRef>
          </c:val>
          <c:shape val="box"/>
        </c:ser>
        <c:ser>
          <c:idx val="0"/>
          <c:order val="2"/>
          <c:tx>
            <c:v>S 3a - Incinerator</c:v>
          </c:tx>
          <c:invertIfNegative val="0"/>
          <c:extLst>
            <c:ext xmlns:c14="http://schemas.microsoft.com/office/drawing/2007/8/2/chart" uri="{6F2FDCE9-48DA-4B69-8628-5D25D57E5C99}">
              <c14:invertSolidFillFmt>
                <c14:spPr>
                  <a:solidFill>
                    <a:srgbClr val="000000"/>
                  </a:solidFill>
                </c14:spPr>
              </c14:invertSolidFillFmt>
            </c:ext>
          </c:extLst>
          <c:cat>
            <c:numRef>
              <c:f>'Cost Summary'!$D$37:$D$40</c:f>
              <c:numCache>
                <c:ptCount val="4"/>
                <c:pt idx="0">
                  <c:v>0</c:v>
                </c:pt>
                <c:pt idx="1">
                  <c:v>0</c:v>
                </c:pt>
                <c:pt idx="2">
                  <c:v>0</c:v>
                </c:pt>
                <c:pt idx="3">
                  <c:v>0</c:v>
                </c:pt>
              </c:numCache>
            </c:numRef>
          </c:cat>
          <c:val>
            <c:numRef>
              <c:f>'Cost Summary'!$R$37:$R$40</c:f>
              <c:numCache>
                <c:ptCount val="4"/>
                <c:pt idx="0">
                  <c:v>0</c:v>
                </c:pt>
                <c:pt idx="1">
                  <c:v>0</c:v>
                </c:pt>
                <c:pt idx="2">
                  <c:v>0</c:v>
                </c:pt>
                <c:pt idx="3">
                  <c:v>0</c:v>
                </c:pt>
              </c:numCache>
            </c:numRef>
          </c:val>
          <c:shape val="box"/>
        </c:ser>
        <c:ser>
          <c:idx val="1"/>
          <c:order val="3"/>
          <c:tx>
            <c:v>S.1 - Incinerator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'Cost Summary'!$D$37:$D$40</c:f>
              <c:numCache>
                <c:ptCount val="4"/>
                <c:pt idx="0">
                  <c:v>0</c:v>
                </c:pt>
                <c:pt idx="1">
                  <c:v>0</c:v>
                </c:pt>
                <c:pt idx="2">
                  <c:v>0</c:v>
                </c:pt>
                <c:pt idx="3">
                  <c:v>0</c:v>
                </c:pt>
              </c:numCache>
            </c:numRef>
          </c:cat>
          <c:val>
            <c:numRef>
              <c:f>'Cost Summary'!$F$37:$F$40</c:f>
              <c:numCache>
                <c:ptCount val="4"/>
                <c:pt idx="0">
                  <c:v>0</c:v>
                </c:pt>
                <c:pt idx="1">
                  <c:v>0</c:v>
                </c:pt>
                <c:pt idx="2">
                  <c:v>0</c:v>
                </c:pt>
                <c:pt idx="3">
                  <c:v>0</c:v>
                </c:pt>
              </c:numCache>
            </c:numRef>
          </c:val>
          <c:shape val="box"/>
        </c:ser>
        <c:ser>
          <c:idx val="5"/>
          <c:order val="4"/>
          <c:tx>
            <c:v>S.4 - Incinerator</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'Cost Summary'!$D$37:$D$40</c:f>
              <c:numCache>
                <c:ptCount val="4"/>
                <c:pt idx="0">
                  <c:v>0</c:v>
                </c:pt>
                <c:pt idx="1">
                  <c:v>0</c:v>
                </c:pt>
                <c:pt idx="2">
                  <c:v>0</c:v>
                </c:pt>
                <c:pt idx="3">
                  <c:v>0</c:v>
                </c:pt>
              </c:numCache>
            </c:numRef>
          </c:cat>
          <c:val>
            <c:numRef>
              <c:f>'Cost Summary'!$V$37:$V$40</c:f>
              <c:numCache>
                <c:ptCount val="4"/>
                <c:pt idx="0">
                  <c:v>0</c:v>
                </c:pt>
                <c:pt idx="1">
                  <c:v>0</c:v>
                </c:pt>
                <c:pt idx="2">
                  <c:v>0</c:v>
                </c:pt>
                <c:pt idx="3">
                  <c:v>0</c:v>
                </c:pt>
              </c:numCache>
            </c:numRef>
          </c:val>
          <c:shape val="box"/>
        </c:ser>
        <c:ser>
          <c:idx val="10"/>
          <c:order val="5"/>
          <c:tx>
            <c:v>S.2 - Incinerator</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'Cost Summary'!$D$37:$D$40</c:f>
              <c:numCache>
                <c:ptCount val="4"/>
                <c:pt idx="0">
                  <c:v>0</c:v>
                </c:pt>
                <c:pt idx="1">
                  <c:v>0</c:v>
                </c:pt>
                <c:pt idx="2">
                  <c:v>0</c:v>
                </c:pt>
                <c:pt idx="3">
                  <c:v>0</c:v>
                </c:pt>
              </c:numCache>
            </c:numRef>
          </c:cat>
          <c:val>
            <c:numRef>
              <c:f>'Cost Summary'!$J$37:$J$40</c:f>
              <c:numCache>
                <c:ptCount val="4"/>
                <c:pt idx="0">
                  <c:v>0</c:v>
                </c:pt>
                <c:pt idx="1">
                  <c:v>0</c:v>
                </c:pt>
                <c:pt idx="2">
                  <c:v>0</c:v>
                </c:pt>
                <c:pt idx="3">
                  <c:v>0</c:v>
                </c:pt>
              </c:numCache>
            </c:numRef>
          </c:val>
          <c:shape val="box"/>
        </c:ser>
        <c:gapWidth val="100"/>
        <c:gapDepth val="100"/>
        <c:shape val="box"/>
        <c:axId val="61901027"/>
        <c:axId val="20238332"/>
        <c:axId val="47927261"/>
      </c:bar3DChart>
      <c:catAx>
        <c:axId val="61901027"/>
        <c:scaling>
          <c:orientation val="minMax"/>
        </c:scaling>
        <c:axPos val="b"/>
        <c:title>
          <c:tx>
            <c:rich>
              <a:bodyPr vert="horz" rot="0" anchor="ctr"/>
              <a:lstStyle/>
              <a:p>
                <a:pPr algn="ctr">
                  <a:defRPr/>
                </a:pPr>
                <a:r>
                  <a:rPr lang="en-US" cap="none" sz="1000" b="1" i="0" u="none" baseline="0">
                    <a:latin typeface="Arial"/>
                    <a:ea typeface="Arial"/>
                    <a:cs typeface="Arial"/>
                  </a:rPr>
                  <a:t>Number of Treatment Facilities</a:t>
                </a:r>
              </a:p>
            </c:rich>
          </c:tx>
          <c:layout>
            <c:manualLayout>
              <c:xMode val="factor"/>
              <c:yMode val="factor"/>
              <c:x val="-0.124"/>
              <c:y val="0.09275"/>
            </c:manualLayout>
          </c:layout>
          <c:overlay val="0"/>
          <c:spPr>
            <a:noFill/>
            <a:ln>
              <a:noFill/>
            </a:ln>
          </c:spPr>
        </c:title>
        <c:delete val="0"/>
        <c:numFmt formatCode="General" sourceLinked="1"/>
        <c:majorTickMark val="out"/>
        <c:minorTickMark val="none"/>
        <c:tickLblPos val="low"/>
        <c:txPr>
          <a:bodyPr/>
          <a:lstStyle/>
          <a:p>
            <a:pPr>
              <a:defRPr lang="en-US" cap="none" sz="900" b="1" i="0" u="none" baseline="0">
                <a:latin typeface="Arial"/>
                <a:ea typeface="Arial"/>
                <a:cs typeface="Arial"/>
              </a:defRPr>
            </a:pPr>
          </a:p>
        </c:txPr>
        <c:crossAx val="20238332"/>
        <c:crossesAt val="0"/>
        <c:auto val="0"/>
        <c:lblOffset val="100"/>
        <c:tickLblSkip val="1"/>
        <c:noMultiLvlLbl val="0"/>
      </c:catAx>
      <c:valAx>
        <c:axId val="20238332"/>
        <c:scaling>
          <c:orientation val="minMax"/>
          <c:max val="8"/>
          <c:min val="0"/>
        </c:scaling>
        <c:axPos val="l"/>
        <c:title>
          <c:tx>
            <c:rich>
              <a:bodyPr vert="horz" rot="0" anchor="ctr"/>
              <a:lstStyle/>
              <a:p>
                <a:pPr algn="ctr">
                  <a:defRPr/>
                </a:pPr>
                <a:r>
                  <a:rPr lang="en-US" cap="none" sz="1200" b="1" i="0" u="none" baseline="0">
                    <a:latin typeface="Arial"/>
                    <a:ea typeface="Arial"/>
                    <a:cs typeface="Arial"/>
                  </a:rPr>
                  <a:t>Total Monthly Cost 
R million</a:t>
                </a:r>
              </a:p>
            </c:rich>
          </c:tx>
          <c:layout>
            <c:manualLayout>
              <c:xMode val="factor"/>
              <c:yMode val="factor"/>
              <c:x val="0.036"/>
              <c:y val="0.0055"/>
            </c:manualLayout>
          </c:layout>
          <c:overlay val="0"/>
          <c:spPr>
            <a:noFill/>
            <a:ln>
              <a:noFill/>
            </a:ln>
          </c:spPr>
        </c:title>
        <c:majorGridlines/>
        <c:delete val="0"/>
        <c:numFmt formatCode="&quot;R &quot;#,##0.00" sourceLinked="0"/>
        <c:majorTickMark val="out"/>
        <c:minorTickMark val="none"/>
        <c:tickLblPos val="nextTo"/>
        <c:txPr>
          <a:bodyPr/>
          <a:lstStyle/>
          <a:p>
            <a:pPr>
              <a:defRPr lang="en-US" cap="none" sz="900" b="1" i="0" u="none" baseline="0">
                <a:latin typeface="Arial"/>
                <a:ea typeface="Arial"/>
                <a:cs typeface="Arial"/>
              </a:defRPr>
            </a:pPr>
          </a:p>
        </c:txPr>
        <c:crossAx val="61901027"/>
        <c:crossesAt val="1"/>
        <c:crossBetween val="between"/>
        <c:dispUnits/>
        <c:majorUnit val="1"/>
        <c:minorUnit val="0.2"/>
      </c:valAx>
      <c:serAx>
        <c:axId val="47927261"/>
        <c:scaling>
          <c:orientation val="minMax"/>
        </c:scaling>
        <c:axPos val="b"/>
        <c:delete val="0"/>
        <c:numFmt formatCode="General" sourceLinked="1"/>
        <c:majorTickMark val="out"/>
        <c:minorTickMark val="none"/>
        <c:tickLblPos val="low"/>
        <c:txPr>
          <a:bodyPr vert="horz" rot="-2700000"/>
          <a:lstStyle/>
          <a:p>
            <a:pPr>
              <a:defRPr lang="en-US" cap="none" sz="1000" b="0" i="0" u="none" baseline="0">
                <a:latin typeface="Arial"/>
                <a:ea typeface="Arial"/>
                <a:cs typeface="Arial"/>
              </a:defRPr>
            </a:pPr>
          </a:p>
        </c:txPr>
        <c:crossAx val="20238332"/>
        <c:crossesAt val="0"/>
        <c:tickLblSkip val="1"/>
        <c:tickMarkSkip val="1"/>
      </c:serAx>
      <c:spPr>
        <a:noFill/>
        <a:ln>
          <a:noFill/>
        </a:ln>
      </c:spPr>
    </c:plotArea>
    <c:floor>
      <c:thickness val="0"/>
    </c:floor>
    <c:sideWall>
      <c:spPr>
        <a:gradFill rotWithShape="1">
          <a:gsLst>
            <a:gs pos="0">
              <a:srgbClr val="C0C0C0"/>
            </a:gs>
            <a:gs pos="100000">
              <a:srgbClr val="C2C2C2"/>
            </a:gs>
          </a:gsLst>
          <a:lin ang="5400000" scaled="1"/>
        </a:gradFill>
        <a:ln w="12700">
          <a:solidFill/>
        </a:ln>
      </c:spPr>
      <c:thickness val="0"/>
    </c:sideWall>
    <c:backWall>
      <c:spPr>
        <a:gradFill rotWithShape="1">
          <a:gsLst>
            <a:gs pos="0">
              <a:srgbClr val="C0C0C0"/>
            </a:gs>
            <a:gs pos="100000">
              <a:srgbClr val="C2C2C2"/>
            </a:gs>
          </a:gsLst>
          <a:lin ang="5400000" scaled="1"/>
        </a:gradFill>
        <a:ln w="12700">
          <a:solidFill/>
        </a:ln>
      </c:spPr>
      <c:thickness val="0"/>
    </c:backWall>
    <c:plotVisOnly val="1"/>
    <c:dispBlanksAs val="gap"/>
    <c:showDLblsOverMax val="0"/>
  </c:chart>
  <c:spPr>
    <a:blipFill>
      <a:blip r:embed="rId2"/>
      <a:srcRect/>
      <a:tile sx="100000" sy="100000" flip="none" algn="tl"/>
    </a:blipFill>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TOTAL MONTHLY SCENARIO COST
PROVINCIAL ONLY - DISPOSABLE CONTAINERS</a:t>
            </a:r>
          </a:p>
        </c:rich>
      </c:tx>
      <c:layout/>
      <c:spPr>
        <a:noFill/>
        <a:ln>
          <a:noFill/>
        </a:ln>
      </c:spPr>
    </c:title>
    <c:plotArea>
      <c:layout>
        <c:manualLayout>
          <c:xMode val="edge"/>
          <c:yMode val="edge"/>
          <c:x val="0.0765"/>
          <c:y val="0.15725"/>
          <c:w val="0.90075"/>
          <c:h val="0.6695"/>
        </c:manualLayout>
      </c:layout>
      <c:scatterChart>
        <c:scatterStyle val="smoothMarker"/>
        <c:varyColors val="0"/>
        <c:ser>
          <c:idx val="3"/>
          <c:order val="0"/>
          <c:tx>
            <c:strRef>
              <c:f>'Scenario Costs Provincial'!$E$133:$E$134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Provincial'!$A$135:$A$138</c:f>
              <c:numCache>
                <c:ptCount val="4"/>
                <c:pt idx="0">
                  <c:v>0</c:v>
                </c:pt>
                <c:pt idx="1">
                  <c:v>0</c:v>
                </c:pt>
                <c:pt idx="2">
                  <c:v>0</c:v>
                </c:pt>
                <c:pt idx="3">
                  <c:v>0</c:v>
                </c:pt>
              </c:numCache>
            </c:numRef>
          </c:xVal>
          <c:yVal>
            <c:numRef>
              <c:f>'Scenario Costs Provincial'!$E$135:$E$138</c:f>
              <c:numCache>
                <c:ptCount val="4"/>
                <c:pt idx="0">
                  <c:v>0</c:v>
                </c:pt>
                <c:pt idx="1">
                  <c:v>0</c:v>
                </c:pt>
                <c:pt idx="2">
                  <c:v>0</c:v>
                </c:pt>
                <c:pt idx="3">
                  <c:v>0</c:v>
                </c:pt>
              </c:numCache>
            </c:numRef>
          </c:yVal>
          <c:smooth val="1"/>
        </c:ser>
        <c:ser>
          <c:idx val="4"/>
          <c:order val="1"/>
          <c:tx>
            <c:strRef>
              <c:f>'Scenario Costs Provincial'!$F$133:$F$134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numRef>
              <c:f>'Scenario Costs Provincial'!$A$135:$A$138</c:f>
              <c:numCache>
                <c:ptCount val="4"/>
                <c:pt idx="0">
                  <c:v>0</c:v>
                </c:pt>
                <c:pt idx="1">
                  <c:v>0</c:v>
                </c:pt>
                <c:pt idx="2">
                  <c:v>0</c:v>
                </c:pt>
                <c:pt idx="3">
                  <c:v>0</c:v>
                </c:pt>
              </c:numCache>
            </c:numRef>
          </c:xVal>
          <c:yVal>
            <c:numRef>
              <c:f>'Scenario Costs Provincial'!$F$135:$F$138</c:f>
              <c:numCache>
                <c:ptCount val="4"/>
                <c:pt idx="0">
                  <c:v>0</c:v>
                </c:pt>
                <c:pt idx="1">
                  <c:v>0</c:v>
                </c:pt>
                <c:pt idx="2">
                  <c:v>0</c:v>
                </c:pt>
                <c:pt idx="3">
                  <c:v>0</c:v>
                </c:pt>
              </c:numCache>
            </c:numRef>
          </c:yVal>
          <c:smooth val="1"/>
        </c:ser>
        <c:ser>
          <c:idx val="5"/>
          <c:order val="2"/>
          <c:tx>
            <c:strRef>
              <c:f>'Scenario Costs Provincial'!$G$133:$G$134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numRef>
              <c:f>'Scenario Costs Provincial'!$A$135:$A$138</c:f>
              <c:numCache>
                <c:ptCount val="4"/>
                <c:pt idx="0">
                  <c:v>0</c:v>
                </c:pt>
                <c:pt idx="1">
                  <c:v>0</c:v>
                </c:pt>
                <c:pt idx="2">
                  <c:v>0</c:v>
                </c:pt>
                <c:pt idx="3">
                  <c:v>0</c:v>
                </c:pt>
              </c:numCache>
            </c:numRef>
          </c:xVal>
          <c:yVal>
            <c:numRef>
              <c:f>'Scenario Costs Provincial'!$G$135:$G$138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Provincial'!$A$135:$A$138</c:f>
              <c:numCache>
                <c:ptCount val="4"/>
                <c:pt idx="0">
                  <c:v>0</c:v>
                </c:pt>
                <c:pt idx="1">
                  <c:v>0</c:v>
                </c:pt>
                <c:pt idx="2">
                  <c:v>0</c:v>
                </c:pt>
                <c:pt idx="3">
                  <c:v>0</c:v>
                </c:pt>
              </c:numCache>
            </c:numRef>
          </c:xVal>
          <c:yVal>
            <c:numRef>
              <c:f>'Scenario Costs Provincial'!$Q$135:$Q$138</c:f>
              <c:numCache>
                <c:ptCount val="4"/>
                <c:pt idx="0">
                  <c:v>0</c:v>
                </c:pt>
                <c:pt idx="1">
                  <c:v>0</c:v>
                </c:pt>
                <c:pt idx="2">
                  <c:v>0</c:v>
                </c:pt>
                <c:pt idx="3">
                  <c:v>0</c:v>
                </c:pt>
              </c:numCache>
            </c:numRef>
          </c:yVal>
          <c:smooth val="1"/>
        </c:ser>
        <c:axId val="24140359"/>
        <c:axId val="15936640"/>
      </c:scatterChart>
      <c:valAx>
        <c:axId val="24140359"/>
        <c:scaling>
          <c:orientation val="minMax"/>
          <c:max val="20"/>
        </c:scaling>
        <c:axPos val="b"/>
        <c:title>
          <c:tx>
            <c:rich>
              <a:bodyPr vert="horz" rot="0" anchor="ctr"/>
              <a:lstStyle/>
              <a:p>
                <a:pPr algn="ctr">
                  <a:defRPr/>
                </a:pPr>
                <a:r>
                  <a:rPr lang="en-US" cap="none" sz="95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15936640"/>
        <c:crosses val="autoZero"/>
        <c:crossBetween val="midCat"/>
        <c:dispUnits/>
      </c:valAx>
      <c:valAx>
        <c:axId val="15936640"/>
        <c:scaling>
          <c:orientation val="minMax"/>
          <c:max val="5500000"/>
          <c:min val="1000000"/>
        </c:scaling>
        <c:axPos val="l"/>
        <c:title>
          <c:tx>
            <c:rich>
              <a:bodyPr vert="horz" rot="-5400000" anchor="ctr"/>
              <a:lstStyle/>
              <a:p>
                <a:pPr algn="ctr">
                  <a:defRPr/>
                </a:pPr>
                <a:r>
                  <a:rPr lang="en-US" cap="none" sz="95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crossAx val="24140359"/>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manualLayout>
          <c:xMode val="edge"/>
          <c:yMode val="edge"/>
          <c:x val="0.054"/>
          <c:y val="0.9257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MONTHLY SCENARIO COST
PROVINCIAL ONLY - 240 L WHEELED BINS</a:t>
            </a:r>
          </a:p>
        </c:rich>
      </c:tx>
      <c:layout/>
      <c:spPr>
        <a:noFill/>
        <a:ln>
          <a:noFill/>
        </a:ln>
      </c:spPr>
    </c:title>
    <c:plotArea>
      <c:layout>
        <c:manualLayout>
          <c:xMode val="edge"/>
          <c:yMode val="edge"/>
          <c:x val="0.0695"/>
          <c:y val="0.184"/>
          <c:w val="0.90975"/>
          <c:h val="0.6475"/>
        </c:manualLayout>
      </c:layout>
      <c:scatterChart>
        <c:scatterStyle val="smoothMarker"/>
        <c:varyColors val="0"/>
        <c:ser>
          <c:idx val="3"/>
          <c:order val="0"/>
          <c:tx>
            <c:strRef>
              <c:f>'Scenario Costs Provincial'!$I$133:$I$134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Provincial'!$A$135:$A$138</c:f>
              <c:numCache>
                <c:ptCount val="4"/>
                <c:pt idx="0">
                  <c:v>0</c:v>
                </c:pt>
                <c:pt idx="1">
                  <c:v>0</c:v>
                </c:pt>
                <c:pt idx="2">
                  <c:v>0</c:v>
                </c:pt>
                <c:pt idx="3">
                  <c:v>0</c:v>
                </c:pt>
              </c:numCache>
            </c:numRef>
          </c:xVal>
          <c:yVal>
            <c:numRef>
              <c:f>'Scenario Costs Provincial'!$I$135:$I$138</c:f>
              <c:numCache>
                <c:ptCount val="4"/>
                <c:pt idx="0">
                  <c:v>0</c:v>
                </c:pt>
                <c:pt idx="1">
                  <c:v>0</c:v>
                </c:pt>
                <c:pt idx="2">
                  <c:v>0</c:v>
                </c:pt>
                <c:pt idx="3">
                  <c:v>0</c:v>
                </c:pt>
              </c:numCache>
            </c:numRef>
          </c:yVal>
          <c:smooth val="1"/>
        </c:ser>
        <c:ser>
          <c:idx val="4"/>
          <c:order val="1"/>
          <c:tx>
            <c:strRef>
              <c:f>'Scenario Costs Provincial'!$K$133:$K$134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numRef>
              <c:f>'Scenario Costs Provincial'!$A$135:$A$138</c:f>
              <c:numCache>
                <c:ptCount val="4"/>
                <c:pt idx="0">
                  <c:v>0</c:v>
                </c:pt>
                <c:pt idx="1">
                  <c:v>0</c:v>
                </c:pt>
                <c:pt idx="2">
                  <c:v>0</c:v>
                </c:pt>
                <c:pt idx="3">
                  <c:v>0</c:v>
                </c:pt>
              </c:numCache>
            </c:numRef>
          </c:xVal>
          <c:yVal>
            <c:numRef>
              <c:f>'Scenario Costs Provincial'!$K$135:$K$138</c:f>
              <c:numCache>
                <c:ptCount val="4"/>
                <c:pt idx="0">
                  <c:v>0</c:v>
                </c:pt>
                <c:pt idx="1">
                  <c:v>0</c:v>
                </c:pt>
                <c:pt idx="2">
                  <c:v>0</c:v>
                </c:pt>
                <c:pt idx="3">
                  <c:v>0</c:v>
                </c:pt>
              </c:numCache>
            </c:numRef>
          </c:yVal>
          <c:smooth val="1"/>
        </c:ser>
        <c:ser>
          <c:idx val="5"/>
          <c:order val="2"/>
          <c:tx>
            <c:strRef>
              <c:f>'Scenario Costs Provincial'!$L$133:$L$134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numRef>
              <c:f>'Scenario Costs Provincial'!$A$135:$A$138</c:f>
              <c:numCache>
                <c:ptCount val="4"/>
                <c:pt idx="0">
                  <c:v>0</c:v>
                </c:pt>
                <c:pt idx="1">
                  <c:v>0</c:v>
                </c:pt>
                <c:pt idx="2">
                  <c:v>0</c:v>
                </c:pt>
                <c:pt idx="3">
                  <c:v>0</c:v>
                </c:pt>
              </c:numCache>
            </c:numRef>
          </c:xVal>
          <c:yVal>
            <c:numRef>
              <c:f>'Scenario Costs Provincial'!$L$135:$L$138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Provincial'!$A$135:$A$138</c:f>
              <c:numCache>
                <c:ptCount val="4"/>
                <c:pt idx="0">
                  <c:v>0</c:v>
                </c:pt>
                <c:pt idx="1">
                  <c:v>0</c:v>
                </c:pt>
                <c:pt idx="2">
                  <c:v>0</c:v>
                </c:pt>
                <c:pt idx="3">
                  <c:v>0</c:v>
                </c:pt>
              </c:numCache>
            </c:numRef>
          </c:xVal>
          <c:yVal>
            <c:numRef>
              <c:f>'Scenario Costs Provincial'!$Q$135:$Q$138</c:f>
              <c:numCache>
                <c:ptCount val="4"/>
                <c:pt idx="0">
                  <c:v>0</c:v>
                </c:pt>
                <c:pt idx="1">
                  <c:v>0</c:v>
                </c:pt>
                <c:pt idx="2">
                  <c:v>0</c:v>
                </c:pt>
                <c:pt idx="3">
                  <c:v>0</c:v>
                </c:pt>
              </c:numCache>
            </c:numRef>
          </c:yVal>
          <c:smooth val="1"/>
        </c:ser>
        <c:axId val="9212033"/>
        <c:axId val="15799434"/>
      </c:scatterChart>
      <c:valAx>
        <c:axId val="9212033"/>
        <c:scaling>
          <c:orientation val="minMax"/>
          <c:max val="20"/>
        </c:scaling>
        <c:axPos val="b"/>
        <c:title>
          <c:tx>
            <c:rich>
              <a:bodyPr vert="horz" rot="0" anchor="ctr"/>
              <a:lstStyle/>
              <a:p>
                <a:pPr algn="ctr">
                  <a:defRPr/>
                </a:pPr>
                <a:r>
                  <a:rPr lang="en-US" cap="none" sz="1025"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15799434"/>
        <c:crosses val="autoZero"/>
        <c:crossBetween val="midCat"/>
        <c:dispUnits/>
      </c:valAx>
      <c:valAx>
        <c:axId val="15799434"/>
        <c:scaling>
          <c:orientation val="minMax"/>
          <c:max val="5500000"/>
          <c:min val="1000000"/>
        </c:scaling>
        <c:axPos val="l"/>
        <c:title>
          <c:tx>
            <c:rich>
              <a:bodyPr vert="horz" rot="-5400000" anchor="ctr"/>
              <a:lstStyle/>
              <a:p>
                <a:pPr algn="ctr">
                  <a:defRPr/>
                </a:pPr>
                <a:r>
                  <a:rPr lang="en-US" cap="none" sz="1025"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crossAx val="9212033"/>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manualLayout>
          <c:xMode val="edge"/>
          <c:yMode val="edge"/>
          <c:x val="0.14175"/>
          <c:y val="0.9262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TOTAL MONTHLY SCENARIO COST
PROVINCIAL ONLY - 770 L WHEELED BINS</a:t>
            </a:r>
          </a:p>
        </c:rich>
      </c:tx>
      <c:layout/>
      <c:spPr>
        <a:noFill/>
        <a:ln>
          <a:noFill/>
        </a:ln>
      </c:spPr>
    </c:title>
    <c:plotArea>
      <c:layout>
        <c:manualLayout>
          <c:xMode val="edge"/>
          <c:yMode val="edge"/>
          <c:x val="0.06125"/>
          <c:y val="0.186"/>
          <c:w val="0.9165"/>
          <c:h val="0.65625"/>
        </c:manualLayout>
      </c:layout>
      <c:scatterChart>
        <c:scatterStyle val="smoothMarker"/>
        <c:varyColors val="0"/>
        <c:ser>
          <c:idx val="3"/>
          <c:order val="0"/>
          <c:tx>
            <c:strRef>
              <c:f>'Scenario Costs Provincial'!$N$133:$N$134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Provincial'!$A$135:$A$138</c:f>
              <c:numCache>
                <c:ptCount val="4"/>
                <c:pt idx="0">
                  <c:v>0</c:v>
                </c:pt>
                <c:pt idx="1">
                  <c:v>0</c:v>
                </c:pt>
                <c:pt idx="2">
                  <c:v>0</c:v>
                </c:pt>
                <c:pt idx="3">
                  <c:v>0</c:v>
                </c:pt>
              </c:numCache>
            </c:numRef>
          </c:xVal>
          <c:yVal>
            <c:numRef>
              <c:f>'Scenario Costs Provincial'!$N$135:$N$138</c:f>
              <c:numCache>
                <c:ptCount val="4"/>
                <c:pt idx="0">
                  <c:v>0</c:v>
                </c:pt>
                <c:pt idx="1">
                  <c:v>0</c:v>
                </c:pt>
                <c:pt idx="2">
                  <c:v>0</c:v>
                </c:pt>
                <c:pt idx="3">
                  <c:v>0</c:v>
                </c:pt>
              </c:numCache>
            </c:numRef>
          </c:yVal>
          <c:smooth val="1"/>
        </c:ser>
        <c:ser>
          <c:idx val="4"/>
          <c:order val="1"/>
          <c:tx>
            <c:strRef>
              <c:f>'Scenario Costs Provincial'!$O$133:$O$134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numRef>
              <c:f>'Scenario Costs Provincial'!$A$135:$A$138</c:f>
              <c:numCache>
                <c:ptCount val="4"/>
                <c:pt idx="0">
                  <c:v>0</c:v>
                </c:pt>
                <c:pt idx="1">
                  <c:v>0</c:v>
                </c:pt>
                <c:pt idx="2">
                  <c:v>0</c:v>
                </c:pt>
                <c:pt idx="3">
                  <c:v>0</c:v>
                </c:pt>
              </c:numCache>
            </c:numRef>
          </c:xVal>
          <c:yVal>
            <c:numRef>
              <c:f>'Scenario Costs Provincial'!$O$135:$O$138</c:f>
              <c:numCache>
                <c:ptCount val="4"/>
                <c:pt idx="0">
                  <c:v>0</c:v>
                </c:pt>
                <c:pt idx="1">
                  <c:v>0</c:v>
                </c:pt>
                <c:pt idx="2">
                  <c:v>0</c:v>
                </c:pt>
                <c:pt idx="3">
                  <c:v>0</c:v>
                </c:pt>
              </c:numCache>
            </c:numRef>
          </c:yVal>
          <c:smooth val="1"/>
        </c:ser>
        <c:ser>
          <c:idx val="5"/>
          <c:order val="2"/>
          <c:tx>
            <c:strRef>
              <c:f>'Scenario Costs Provincial'!$P$133:$P$134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numRef>
              <c:f>'Scenario Costs Provincial'!$A$135:$A$138</c:f>
              <c:numCache>
                <c:ptCount val="4"/>
                <c:pt idx="0">
                  <c:v>0</c:v>
                </c:pt>
                <c:pt idx="1">
                  <c:v>0</c:v>
                </c:pt>
                <c:pt idx="2">
                  <c:v>0</c:v>
                </c:pt>
                <c:pt idx="3">
                  <c:v>0</c:v>
                </c:pt>
              </c:numCache>
            </c:numRef>
          </c:xVal>
          <c:yVal>
            <c:numRef>
              <c:f>'Scenario Costs Provincial'!$P$135:$P$138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Provincial'!$A$135:$A$138</c:f>
              <c:numCache>
                <c:ptCount val="4"/>
                <c:pt idx="0">
                  <c:v>0</c:v>
                </c:pt>
                <c:pt idx="1">
                  <c:v>0</c:v>
                </c:pt>
                <c:pt idx="2">
                  <c:v>0</c:v>
                </c:pt>
                <c:pt idx="3">
                  <c:v>0</c:v>
                </c:pt>
              </c:numCache>
            </c:numRef>
          </c:xVal>
          <c:yVal>
            <c:numRef>
              <c:f>'Scenario Costs Provincial'!$Q$135:$Q$138</c:f>
              <c:numCache>
                <c:ptCount val="4"/>
                <c:pt idx="0">
                  <c:v>0</c:v>
                </c:pt>
                <c:pt idx="1">
                  <c:v>0</c:v>
                </c:pt>
                <c:pt idx="2">
                  <c:v>0</c:v>
                </c:pt>
                <c:pt idx="3">
                  <c:v>0</c:v>
                </c:pt>
              </c:numCache>
            </c:numRef>
          </c:yVal>
          <c:smooth val="1"/>
        </c:ser>
        <c:axId val="7977179"/>
        <c:axId val="4685748"/>
      </c:scatterChart>
      <c:valAx>
        <c:axId val="7977179"/>
        <c:scaling>
          <c:orientation val="minMax"/>
          <c:max val="20"/>
        </c:scaling>
        <c:axPos val="b"/>
        <c:title>
          <c:tx>
            <c:rich>
              <a:bodyPr vert="horz" rot="0" anchor="ctr"/>
              <a:lstStyle/>
              <a:p>
                <a:pPr algn="ctr">
                  <a:defRPr/>
                </a:pPr>
                <a:r>
                  <a:rPr lang="en-US" cap="none" sz="95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4685748"/>
        <c:crosses val="autoZero"/>
        <c:crossBetween val="midCat"/>
        <c:dispUnits/>
      </c:valAx>
      <c:valAx>
        <c:axId val="4685748"/>
        <c:scaling>
          <c:orientation val="minMax"/>
          <c:max val="5500000"/>
          <c:min val="1000000"/>
        </c:scaling>
        <c:axPos val="l"/>
        <c:title>
          <c:tx>
            <c:rich>
              <a:bodyPr vert="horz" rot="-5400000" anchor="ctr"/>
              <a:lstStyle/>
              <a:p>
                <a:pPr algn="ctr">
                  <a:defRPr/>
                </a:pPr>
                <a:r>
                  <a:rPr lang="en-US" cap="none" sz="95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crossAx val="7977179"/>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manualLayout>
          <c:xMode val="edge"/>
          <c:yMode val="edge"/>
          <c:x val="0.0725"/>
          <c:y val="0.9297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TOTAL MONTHLY SCENARIO COST
PROVINCIAL ONLY -  PLASTIC BOXES + CAGE-TROLLEYS</a:t>
            </a:r>
          </a:p>
        </c:rich>
      </c:tx>
      <c:layout/>
      <c:spPr>
        <a:noFill/>
        <a:ln>
          <a:noFill/>
        </a:ln>
      </c:spPr>
    </c:title>
    <c:plotArea>
      <c:layout>
        <c:manualLayout>
          <c:xMode val="edge"/>
          <c:yMode val="edge"/>
          <c:x val="0.06625"/>
          <c:y val="0.1585"/>
          <c:w val="0.9095"/>
          <c:h val="0.6835"/>
        </c:manualLayout>
      </c:layout>
      <c:scatterChart>
        <c:scatterStyle val="smoothMarker"/>
        <c:varyColors val="0"/>
        <c:ser>
          <c:idx val="3"/>
          <c:order val="0"/>
          <c:tx>
            <c:strRef>
              <c:f>'Scenario Costs Provincial'!$V$133:$V$134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Provincial'!$A$135:$A$138</c:f>
              <c:numCache>
                <c:ptCount val="4"/>
                <c:pt idx="0">
                  <c:v>0</c:v>
                </c:pt>
                <c:pt idx="1">
                  <c:v>0</c:v>
                </c:pt>
                <c:pt idx="2">
                  <c:v>0</c:v>
                </c:pt>
                <c:pt idx="3">
                  <c:v>0</c:v>
                </c:pt>
              </c:numCache>
            </c:numRef>
          </c:xVal>
          <c:yVal>
            <c:numRef>
              <c:f>'Scenario Costs Provincial'!$V$135:$V$138</c:f>
              <c:numCache>
                <c:ptCount val="4"/>
                <c:pt idx="0">
                  <c:v>0</c:v>
                </c:pt>
                <c:pt idx="1">
                  <c:v>0</c:v>
                </c:pt>
                <c:pt idx="2">
                  <c:v>0</c:v>
                </c:pt>
                <c:pt idx="3">
                  <c:v>0</c:v>
                </c:pt>
              </c:numCache>
            </c:numRef>
          </c:yVal>
          <c:smooth val="1"/>
        </c:ser>
        <c:ser>
          <c:idx val="4"/>
          <c:order val="1"/>
          <c:tx>
            <c:strRef>
              <c:f>'Scenario Costs Provincial'!$W$133:$W$134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numRef>
              <c:f>'Scenario Costs Provincial'!$A$135:$A$138</c:f>
              <c:numCache>
                <c:ptCount val="4"/>
                <c:pt idx="0">
                  <c:v>0</c:v>
                </c:pt>
                <c:pt idx="1">
                  <c:v>0</c:v>
                </c:pt>
                <c:pt idx="2">
                  <c:v>0</c:v>
                </c:pt>
                <c:pt idx="3">
                  <c:v>0</c:v>
                </c:pt>
              </c:numCache>
            </c:numRef>
          </c:xVal>
          <c:yVal>
            <c:numRef>
              <c:f>'Scenario Costs Provincial'!$W$135:$W$138</c:f>
              <c:numCache>
                <c:ptCount val="4"/>
                <c:pt idx="0">
                  <c:v>0</c:v>
                </c:pt>
                <c:pt idx="1">
                  <c:v>0</c:v>
                </c:pt>
                <c:pt idx="2">
                  <c:v>0</c:v>
                </c:pt>
                <c:pt idx="3">
                  <c:v>0</c:v>
                </c:pt>
              </c:numCache>
            </c:numRef>
          </c:yVal>
          <c:smooth val="1"/>
        </c:ser>
        <c:ser>
          <c:idx val="5"/>
          <c:order val="2"/>
          <c:tx>
            <c:strRef>
              <c:f>'Scenario Costs Provincial'!$X$133:$X$134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numRef>
              <c:f>'Scenario Costs Provincial'!$A$135:$A$138</c:f>
              <c:numCache>
                <c:ptCount val="4"/>
                <c:pt idx="0">
                  <c:v>0</c:v>
                </c:pt>
                <c:pt idx="1">
                  <c:v>0</c:v>
                </c:pt>
                <c:pt idx="2">
                  <c:v>0</c:v>
                </c:pt>
                <c:pt idx="3">
                  <c:v>0</c:v>
                </c:pt>
              </c:numCache>
            </c:numRef>
          </c:xVal>
          <c:yVal>
            <c:numRef>
              <c:f>'Scenario Costs Provincial'!$X$135:$X$138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Provincial'!$A$135:$A$138</c:f>
              <c:numCache>
                <c:ptCount val="4"/>
                <c:pt idx="0">
                  <c:v>0</c:v>
                </c:pt>
                <c:pt idx="1">
                  <c:v>0</c:v>
                </c:pt>
                <c:pt idx="2">
                  <c:v>0</c:v>
                </c:pt>
                <c:pt idx="3">
                  <c:v>0</c:v>
                </c:pt>
              </c:numCache>
            </c:numRef>
          </c:xVal>
          <c:yVal>
            <c:numRef>
              <c:f>'Scenario Costs Provincial'!$Q$135:$Q$138</c:f>
              <c:numCache>
                <c:ptCount val="4"/>
                <c:pt idx="0">
                  <c:v>0</c:v>
                </c:pt>
                <c:pt idx="1">
                  <c:v>0</c:v>
                </c:pt>
                <c:pt idx="2">
                  <c:v>0</c:v>
                </c:pt>
                <c:pt idx="3">
                  <c:v>0</c:v>
                </c:pt>
              </c:numCache>
            </c:numRef>
          </c:yVal>
          <c:smooth val="1"/>
        </c:ser>
        <c:axId val="42171733"/>
        <c:axId val="44001278"/>
      </c:scatterChart>
      <c:valAx>
        <c:axId val="42171733"/>
        <c:scaling>
          <c:orientation val="minMax"/>
          <c:max val="20"/>
        </c:scaling>
        <c:axPos val="b"/>
        <c:title>
          <c:tx>
            <c:rich>
              <a:bodyPr vert="horz" rot="0" anchor="ctr"/>
              <a:lstStyle/>
              <a:p>
                <a:pPr algn="ctr">
                  <a:defRPr/>
                </a:pPr>
                <a:r>
                  <a:rPr lang="en-US" cap="none" sz="85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44001278"/>
        <c:crosses val="autoZero"/>
        <c:crossBetween val="midCat"/>
        <c:dispUnits/>
      </c:valAx>
      <c:valAx>
        <c:axId val="44001278"/>
        <c:scaling>
          <c:orientation val="minMax"/>
          <c:max val="5500000"/>
          <c:min val="1000000"/>
        </c:scaling>
        <c:axPos val="l"/>
        <c:title>
          <c:tx>
            <c:rich>
              <a:bodyPr vert="horz" rot="-5400000" anchor="ctr"/>
              <a:lstStyle/>
              <a:p>
                <a:pPr algn="ctr">
                  <a:defRPr/>
                </a:pPr>
                <a:r>
                  <a:rPr lang="en-US" cap="none" sz="85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crossAx val="42171733"/>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r"/>
      <c:layout>
        <c:manualLayout>
          <c:xMode val="edge"/>
          <c:yMode val="edge"/>
          <c:x val="0.024"/>
          <c:y val="0.9302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8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COMPARISON OF CONTAINERISATION SCENARIOS:
PROVINCIAL HCRW ONLY
TREATMENT BY INCINERATION</a:t>
            </a:r>
          </a:p>
        </c:rich>
      </c:tx>
      <c:layout>
        <c:manualLayout>
          <c:xMode val="factor"/>
          <c:yMode val="factor"/>
          <c:x val="0.01875"/>
          <c:y val="-0.00325"/>
        </c:manualLayout>
      </c:layout>
      <c:spPr>
        <a:noFill/>
        <a:ln>
          <a:noFill/>
        </a:ln>
      </c:spPr>
    </c:title>
    <c:plotArea>
      <c:layout>
        <c:manualLayout>
          <c:xMode val="edge"/>
          <c:yMode val="edge"/>
          <c:x val="0.04575"/>
          <c:y val="0.17575"/>
          <c:w val="0.7505"/>
          <c:h val="0.76625"/>
        </c:manualLayout>
      </c:layout>
      <c:scatterChart>
        <c:scatterStyle val="smoothMarker"/>
        <c:varyColors val="0"/>
        <c:ser>
          <c:idx val="0"/>
          <c:order val="0"/>
          <c:tx>
            <c:strRef>
              <c:f>'Scenario Costs All Facilities'!$E$51:$G$51</c:f>
              <c:strCache>
                <c:ptCount val="1"/>
                <c:pt idx="0">
                  <c:v>"Disposable Containers + cage-trolleys"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'Scenario Costs All Facilities'!$A$135:$A$138</c:f>
              <c:numCache>
                <c:ptCount val="4"/>
                <c:pt idx="0">
                  <c:v>1</c:v>
                </c:pt>
                <c:pt idx="1">
                  <c:v>3</c:v>
                </c:pt>
                <c:pt idx="2">
                  <c:v>10</c:v>
                </c:pt>
                <c:pt idx="3">
                  <c:v>20</c:v>
                </c:pt>
              </c:numCache>
            </c:numRef>
          </c:xVal>
          <c:yVal>
            <c:numRef>
              <c:f>'Scenario Costs Provincial'!$F$135:$F$138</c:f>
              <c:numCache>
                <c:ptCount val="4"/>
                <c:pt idx="0">
                  <c:v>0</c:v>
                </c:pt>
                <c:pt idx="1">
                  <c:v>0</c:v>
                </c:pt>
                <c:pt idx="2">
                  <c:v>0</c:v>
                </c:pt>
                <c:pt idx="3">
                  <c:v>0</c:v>
                </c:pt>
              </c:numCache>
            </c:numRef>
          </c:yVal>
          <c:smooth val="1"/>
        </c:ser>
        <c:ser>
          <c:idx val="1"/>
          <c:order val="1"/>
          <c:tx>
            <c:strRef>
              <c:f>'Scenario Costs All Facilities'!$I$51:$L$51</c:f>
              <c:strCache>
                <c:ptCount val="1"/>
                <c:pt idx="0">
                  <c:v>"Re-usable Containers (240 L w/bins)"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'Scenario Costs All Facilities'!$A$135:$A$138</c:f>
              <c:numCache>
                <c:ptCount val="4"/>
                <c:pt idx="0">
                  <c:v>1</c:v>
                </c:pt>
                <c:pt idx="1">
                  <c:v>3</c:v>
                </c:pt>
                <c:pt idx="2">
                  <c:v>10</c:v>
                </c:pt>
                <c:pt idx="3">
                  <c:v>20</c:v>
                </c:pt>
              </c:numCache>
            </c:numRef>
          </c:xVal>
          <c:yVal>
            <c:numRef>
              <c:f>'Scenario Costs Provincial'!$K$135:$K$138</c:f>
              <c:numCache>
                <c:ptCount val="4"/>
                <c:pt idx="0">
                  <c:v>0</c:v>
                </c:pt>
                <c:pt idx="1">
                  <c:v>0</c:v>
                </c:pt>
                <c:pt idx="2">
                  <c:v>0</c:v>
                </c:pt>
                <c:pt idx="3">
                  <c:v>0</c:v>
                </c:pt>
              </c:numCache>
            </c:numRef>
          </c:yVal>
          <c:smooth val="1"/>
        </c:ser>
        <c:ser>
          <c:idx val="5"/>
          <c:order val="2"/>
          <c:tx>
            <c:strRef>
              <c:f>'Scenario Costs Provincial'!$R$51:$T$51</c:f>
              <c:strCache>
                <c:ptCount val="1"/>
                <c:pt idx="0">
                  <c:v>"Re-usable Containers (660 L w/bins)"</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xVal>
            <c:numRef>
              <c:f>'Scenario Costs Provincial'!$A$135:$A$138</c:f>
              <c:numCache>
                <c:ptCount val="4"/>
                <c:pt idx="0">
                  <c:v>0</c:v>
                </c:pt>
                <c:pt idx="1">
                  <c:v>0</c:v>
                </c:pt>
                <c:pt idx="2">
                  <c:v>0</c:v>
                </c:pt>
                <c:pt idx="3">
                  <c:v>0</c:v>
                </c:pt>
              </c:numCache>
            </c:numRef>
          </c:xVal>
          <c:yVal>
            <c:numRef>
              <c:f>'Scenario Costs Provincial'!$S$135:$S$138</c:f>
              <c:numCache>
                <c:ptCount val="4"/>
                <c:pt idx="0">
                  <c:v>0</c:v>
                </c:pt>
                <c:pt idx="1">
                  <c:v>0</c:v>
                </c:pt>
                <c:pt idx="2">
                  <c:v>0</c:v>
                </c:pt>
                <c:pt idx="3">
                  <c:v>0</c:v>
                </c:pt>
              </c:numCache>
            </c:numRef>
          </c:yVal>
          <c:smooth val="1"/>
        </c:ser>
        <c:ser>
          <c:idx val="2"/>
          <c:order val="3"/>
          <c:tx>
            <c:strRef>
              <c:f>'Scenario Costs All Facilities'!$N$51:$P$51</c:f>
              <c:strCache>
                <c:ptCount val="1"/>
                <c:pt idx="0">
                  <c:v>"Re-usable Containers (770 L w/bins)"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'Scenario Costs All Facilities'!$A$135:$A$138</c:f>
              <c:numCache>
                <c:ptCount val="4"/>
                <c:pt idx="0">
                  <c:v>1</c:v>
                </c:pt>
                <c:pt idx="1">
                  <c:v>3</c:v>
                </c:pt>
                <c:pt idx="2">
                  <c:v>10</c:v>
                </c:pt>
                <c:pt idx="3">
                  <c:v>20</c:v>
                </c:pt>
              </c:numCache>
            </c:numRef>
          </c:xVal>
          <c:yVal>
            <c:numRef>
              <c:f>'Scenario Costs Provincial'!$O$135:$O$138</c:f>
              <c:numCache>
                <c:ptCount val="4"/>
                <c:pt idx="0">
                  <c:v>0</c:v>
                </c:pt>
                <c:pt idx="1">
                  <c:v>0</c:v>
                </c:pt>
                <c:pt idx="2">
                  <c:v>0</c:v>
                </c:pt>
                <c:pt idx="3">
                  <c:v>0</c:v>
                </c:pt>
              </c:numCache>
            </c:numRef>
          </c:yVal>
          <c:smooth val="1"/>
        </c:ser>
        <c:ser>
          <c:idx val="3"/>
          <c:order val="4"/>
          <c:tx>
            <c:strRef>
              <c:f>'Scenario Costs All Facilities'!$V$51:$X$51</c:f>
              <c:strCache>
                <c:ptCount val="1"/>
                <c:pt idx="0">
                  <c:v>"Re-usable Containers (plastic boxes) + cage-trolleys"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'Scenario Costs All Facilities'!$A$135:$A$138</c:f>
              <c:numCache>
                <c:ptCount val="4"/>
                <c:pt idx="0">
                  <c:v>1</c:v>
                </c:pt>
                <c:pt idx="1">
                  <c:v>3</c:v>
                </c:pt>
                <c:pt idx="2">
                  <c:v>10</c:v>
                </c:pt>
                <c:pt idx="3">
                  <c:v>20</c:v>
                </c:pt>
              </c:numCache>
            </c:numRef>
          </c:xVal>
          <c:yVal>
            <c:numRef>
              <c:f>'Scenario Costs Provincial'!$W$135:$W$138</c:f>
              <c:numCache>
                <c:ptCount val="4"/>
                <c:pt idx="0">
                  <c:v>0</c:v>
                </c:pt>
                <c:pt idx="1">
                  <c:v>0</c:v>
                </c:pt>
                <c:pt idx="2">
                  <c:v>0</c:v>
                </c:pt>
                <c:pt idx="3">
                  <c:v>0</c:v>
                </c:pt>
              </c:numCache>
            </c:numRef>
          </c:yVal>
          <c:smooth val="1"/>
        </c:ser>
        <c:ser>
          <c:idx val="4"/>
          <c:order val="5"/>
          <c:tx>
            <c:v>"Status-Quo"</c:v>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'Scenario Costs All Facilities'!$A$135:$A$138</c:f>
              <c:numCache>
                <c:ptCount val="4"/>
                <c:pt idx="0">
                  <c:v>1</c:v>
                </c:pt>
                <c:pt idx="1">
                  <c:v>3</c:v>
                </c:pt>
                <c:pt idx="2">
                  <c:v>10</c:v>
                </c:pt>
                <c:pt idx="3">
                  <c:v>20</c:v>
                </c:pt>
              </c:numCache>
            </c:numRef>
          </c:xVal>
          <c:yVal>
            <c:numRef>
              <c:f>'Scenario Costs Provincial'!$Q$135:$Q$138</c:f>
              <c:numCache>
                <c:ptCount val="4"/>
                <c:pt idx="0">
                  <c:v>0</c:v>
                </c:pt>
                <c:pt idx="1">
                  <c:v>0</c:v>
                </c:pt>
                <c:pt idx="2">
                  <c:v>0</c:v>
                </c:pt>
                <c:pt idx="3">
                  <c:v>0</c:v>
                </c:pt>
              </c:numCache>
            </c:numRef>
          </c:yVal>
          <c:smooth val="1"/>
        </c:ser>
        <c:ser>
          <c:idx val="6"/>
          <c:order val="6"/>
          <c:tx>
            <c:strRef>
              <c:f>'Scenario Costs Provincial'!$Z$51:$AB$51</c:f>
              <c:strCache>
                <c:ptCount val="1"/>
                <c:pt idx="0">
                  <c:v>"Re-usable Containers (plastic boxes)"</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'Scenario Costs Provincial'!$A$135:$A$138</c:f>
              <c:numCache>
                <c:ptCount val="4"/>
                <c:pt idx="0">
                  <c:v>0</c:v>
                </c:pt>
                <c:pt idx="1">
                  <c:v>0</c:v>
                </c:pt>
                <c:pt idx="2">
                  <c:v>0</c:v>
                </c:pt>
                <c:pt idx="3">
                  <c:v>0</c:v>
                </c:pt>
              </c:numCache>
            </c:numRef>
          </c:xVal>
          <c:yVal>
            <c:numRef>
              <c:f>'Scenario Costs Provincial'!$AA$135:$AA$138</c:f>
              <c:numCache>
                <c:ptCount val="4"/>
                <c:pt idx="0">
                  <c:v>0</c:v>
                </c:pt>
                <c:pt idx="1">
                  <c:v>0</c:v>
                </c:pt>
                <c:pt idx="2">
                  <c:v>0</c:v>
                </c:pt>
                <c:pt idx="3">
                  <c:v>0</c:v>
                </c:pt>
              </c:numCache>
            </c:numRef>
          </c:yVal>
          <c:smooth val="1"/>
        </c:ser>
        <c:axId val="60467183"/>
        <c:axId val="7333736"/>
      </c:scatterChart>
      <c:valAx>
        <c:axId val="60467183"/>
        <c:scaling>
          <c:orientation val="minMax"/>
          <c:max val="10"/>
        </c:scaling>
        <c:axPos val="b"/>
        <c:title>
          <c:tx>
            <c:rich>
              <a:bodyPr vert="horz" rot="0" anchor="ctr"/>
              <a:lstStyle/>
              <a:p>
                <a:pPr algn="ctr">
                  <a:defRPr/>
                </a:pPr>
                <a:r>
                  <a:rPr lang="en-US" cap="none" sz="1200" b="1" i="0" u="none" baseline="0">
                    <a:latin typeface="Arial"/>
                    <a:ea typeface="Arial"/>
                    <a:cs typeface="Arial"/>
                  </a:rPr>
                  <a:t>Number of Treatment Facilities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7333736"/>
        <c:crosses val="autoZero"/>
        <c:crossBetween val="midCat"/>
        <c:dispUnits/>
      </c:valAx>
      <c:valAx>
        <c:axId val="7333736"/>
        <c:scaling>
          <c:orientation val="minMax"/>
          <c:max val="3500000"/>
          <c:min val="1500000"/>
        </c:scaling>
        <c:axPos val="l"/>
        <c:title>
          <c:tx>
            <c:rich>
              <a:bodyPr vert="horz" rot="-5400000" anchor="ctr"/>
              <a:lstStyle/>
              <a:p>
                <a:pPr algn="ctr">
                  <a:defRPr/>
                </a:pPr>
                <a:r>
                  <a:rPr lang="en-US" cap="none" sz="1200" b="1" i="0" u="none" baseline="0">
                    <a:latin typeface="Arial"/>
                    <a:ea typeface="Arial"/>
                    <a:cs typeface="Arial"/>
                  </a:rPr>
                  <a:t>Total Monthly Cost </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200" b="1" i="0" u="none" baseline="0">
                <a:latin typeface="Arial"/>
                <a:ea typeface="Arial"/>
                <a:cs typeface="Arial"/>
              </a:defRPr>
            </a:pPr>
          </a:p>
        </c:txPr>
        <c:crossAx val="60467183"/>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808080"/>
          </a:solidFill>
        </a:ln>
      </c:spPr>
    </c:plotArea>
    <c:legend>
      <c:legendPos val="r"/>
      <c:layout>
        <c:manualLayout>
          <c:xMode val="edge"/>
          <c:yMode val="edge"/>
          <c:x val="0.8105"/>
          <c:y val="0.18125"/>
          <c:w val="0.17975"/>
          <c:h val="0.78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blipFill>
      <a:blip r:embed="rId1"/>
      <a:srcRect/>
      <a:tile sx="100000" sy="100000" flip="none" algn="tl"/>
    </a:blipFill>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MONTHLY SCENARIO COST
PROVINCIAL ONLY - 660 L WHEELED BINS</a:t>
            </a:r>
          </a:p>
        </c:rich>
      </c:tx>
      <c:layout/>
      <c:spPr>
        <a:noFill/>
        <a:ln>
          <a:noFill/>
        </a:ln>
      </c:spPr>
    </c:title>
    <c:plotArea>
      <c:layout>
        <c:manualLayout>
          <c:xMode val="edge"/>
          <c:yMode val="edge"/>
          <c:x val="0.061"/>
          <c:y val="0.2"/>
          <c:w val="0.91675"/>
          <c:h val="0.64225"/>
        </c:manualLayout>
      </c:layout>
      <c:scatterChart>
        <c:scatterStyle val="smoothMarker"/>
        <c:varyColors val="0"/>
        <c:ser>
          <c:idx val="3"/>
          <c:order val="0"/>
          <c:tx>
            <c:strRef>
              <c:f>'Scenario Costs Provincial'!$N$133:$N$134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Provincial'!$A$135:$A$138</c:f>
              <c:numCache>
                <c:ptCount val="4"/>
                <c:pt idx="0">
                  <c:v>0</c:v>
                </c:pt>
                <c:pt idx="1">
                  <c:v>0</c:v>
                </c:pt>
                <c:pt idx="2">
                  <c:v>0</c:v>
                </c:pt>
                <c:pt idx="3">
                  <c:v>0</c:v>
                </c:pt>
              </c:numCache>
            </c:numRef>
          </c:xVal>
          <c:yVal>
            <c:numRef>
              <c:f>'Scenario Costs Provincial'!$R$135:$R$138</c:f>
              <c:numCache>
                <c:ptCount val="4"/>
                <c:pt idx="0">
                  <c:v>0</c:v>
                </c:pt>
                <c:pt idx="1">
                  <c:v>0</c:v>
                </c:pt>
                <c:pt idx="2">
                  <c:v>0</c:v>
                </c:pt>
                <c:pt idx="3">
                  <c:v>0</c:v>
                </c:pt>
              </c:numCache>
            </c:numRef>
          </c:yVal>
          <c:smooth val="1"/>
        </c:ser>
        <c:ser>
          <c:idx val="4"/>
          <c:order val="1"/>
          <c:tx>
            <c:strRef>
              <c:f>'Scenario Costs Provincial'!$O$133:$O$134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numRef>
              <c:f>'Scenario Costs Provincial'!$A$135:$A$138</c:f>
              <c:numCache>
                <c:ptCount val="4"/>
                <c:pt idx="0">
                  <c:v>0</c:v>
                </c:pt>
                <c:pt idx="1">
                  <c:v>0</c:v>
                </c:pt>
                <c:pt idx="2">
                  <c:v>0</c:v>
                </c:pt>
                <c:pt idx="3">
                  <c:v>0</c:v>
                </c:pt>
              </c:numCache>
            </c:numRef>
          </c:xVal>
          <c:yVal>
            <c:numRef>
              <c:f>'Scenario Costs Provincial'!$S$135:$S$138</c:f>
              <c:numCache>
                <c:ptCount val="4"/>
                <c:pt idx="0">
                  <c:v>0</c:v>
                </c:pt>
                <c:pt idx="1">
                  <c:v>0</c:v>
                </c:pt>
                <c:pt idx="2">
                  <c:v>0</c:v>
                </c:pt>
                <c:pt idx="3">
                  <c:v>0</c:v>
                </c:pt>
              </c:numCache>
            </c:numRef>
          </c:yVal>
          <c:smooth val="1"/>
        </c:ser>
        <c:ser>
          <c:idx val="5"/>
          <c:order val="2"/>
          <c:tx>
            <c:strRef>
              <c:f>'Scenario Costs Provincial'!$P$133:$P$134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numRef>
              <c:f>'Scenario Costs Provincial'!$A$135:$A$138</c:f>
              <c:numCache>
                <c:ptCount val="4"/>
                <c:pt idx="0">
                  <c:v>0</c:v>
                </c:pt>
                <c:pt idx="1">
                  <c:v>0</c:v>
                </c:pt>
                <c:pt idx="2">
                  <c:v>0</c:v>
                </c:pt>
                <c:pt idx="3">
                  <c:v>0</c:v>
                </c:pt>
              </c:numCache>
            </c:numRef>
          </c:xVal>
          <c:yVal>
            <c:numRef>
              <c:f>'Scenario Costs Provincial'!$T$135:$T$138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Provincial'!$A$135:$A$138</c:f>
              <c:numCache>
                <c:ptCount val="4"/>
                <c:pt idx="0">
                  <c:v>0</c:v>
                </c:pt>
                <c:pt idx="1">
                  <c:v>0</c:v>
                </c:pt>
                <c:pt idx="2">
                  <c:v>0</c:v>
                </c:pt>
                <c:pt idx="3">
                  <c:v>0</c:v>
                </c:pt>
              </c:numCache>
            </c:numRef>
          </c:xVal>
          <c:yVal>
            <c:numRef>
              <c:f>'Scenario Costs Provincial'!$Q$135:$Q$138</c:f>
              <c:numCache>
                <c:ptCount val="4"/>
                <c:pt idx="0">
                  <c:v>0</c:v>
                </c:pt>
                <c:pt idx="1">
                  <c:v>0</c:v>
                </c:pt>
                <c:pt idx="2">
                  <c:v>0</c:v>
                </c:pt>
                <c:pt idx="3">
                  <c:v>0</c:v>
                </c:pt>
              </c:numCache>
            </c:numRef>
          </c:yVal>
          <c:smooth val="1"/>
        </c:ser>
        <c:axId val="66003625"/>
        <c:axId val="57161714"/>
      </c:scatterChart>
      <c:valAx>
        <c:axId val="66003625"/>
        <c:scaling>
          <c:orientation val="minMax"/>
          <c:max val="20"/>
        </c:scaling>
        <c:axPos val="b"/>
        <c:title>
          <c:tx>
            <c:rich>
              <a:bodyPr vert="horz" rot="0" anchor="ctr"/>
              <a:lstStyle/>
              <a:p>
                <a:pPr algn="ctr">
                  <a:defRPr/>
                </a:pPr>
                <a:r>
                  <a:rPr lang="en-US" cap="none" sz="95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57161714"/>
        <c:crosses val="autoZero"/>
        <c:crossBetween val="midCat"/>
        <c:dispUnits/>
      </c:valAx>
      <c:valAx>
        <c:axId val="57161714"/>
        <c:scaling>
          <c:orientation val="minMax"/>
          <c:max val="5500000"/>
          <c:min val="1000000"/>
        </c:scaling>
        <c:axPos val="l"/>
        <c:title>
          <c:tx>
            <c:rich>
              <a:bodyPr vert="horz" rot="-5400000" anchor="ctr"/>
              <a:lstStyle/>
              <a:p>
                <a:pPr algn="ctr">
                  <a:defRPr/>
                </a:pPr>
                <a:r>
                  <a:rPr lang="en-US" cap="none" sz="95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crossAx val="66003625"/>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manualLayout>
          <c:xMode val="edge"/>
          <c:yMode val="edge"/>
          <c:x val="0.075"/>
          <c:y val="0.9297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9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TOTAL MONTHLY SCENARIO COST
PROVINCIAL ONLY -  PLASTIC BOXES</a:t>
            </a:r>
          </a:p>
        </c:rich>
      </c:tx>
      <c:layout/>
      <c:spPr>
        <a:noFill/>
        <a:ln>
          <a:noFill/>
        </a:ln>
      </c:spPr>
    </c:title>
    <c:plotArea>
      <c:layout>
        <c:manualLayout>
          <c:xMode val="edge"/>
          <c:yMode val="edge"/>
          <c:x val="0.06875"/>
          <c:y val="0.15225"/>
          <c:w val="0.906"/>
          <c:h val="0.68875"/>
        </c:manualLayout>
      </c:layout>
      <c:scatterChart>
        <c:scatterStyle val="smoothMarker"/>
        <c:varyColors val="0"/>
        <c:ser>
          <c:idx val="3"/>
          <c:order val="0"/>
          <c:tx>
            <c:strRef>
              <c:f>'Scenario Costs Provincial'!$V$133:$V$134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Provincial'!$A$135:$A$138</c:f>
              <c:numCache>
                <c:ptCount val="4"/>
                <c:pt idx="0">
                  <c:v>0</c:v>
                </c:pt>
                <c:pt idx="1">
                  <c:v>0</c:v>
                </c:pt>
                <c:pt idx="2">
                  <c:v>0</c:v>
                </c:pt>
                <c:pt idx="3">
                  <c:v>0</c:v>
                </c:pt>
              </c:numCache>
            </c:numRef>
          </c:xVal>
          <c:yVal>
            <c:numRef>
              <c:f>'Scenario Costs Provincial'!$Z$135:$Z$138</c:f>
              <c:numCache>
                <c:ptCount val="4"/>
                <c:pt idx="0">
                  <c:v>0</c:v>
                </c:pt>
                <c:pt idx="1">
                  <c:v>0</c:v>
                </c:pt>
                <c:pt idx="2">
                  <c:v>0</c:v>
                </c:pt>
                <c:pt idx="3">
                  <c:v>0</c:v>
                </c:pt>
              </c:numCache>
            </c:numRef>
          </c:yVal>
          <c:smooth val="1"/>
        </c:ser>
        <c:ser>
          <c:idx val="4"/>
          <c:order val="1"/>
          <c:tx>
            <c:strRef>
              <c:f>'Scenario Costs Provincial'!$W$133:$W$134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numRef>
              <c:f>'Scenario Costs Provincial'!$A$135:$A$138</c:f>
              <c:numCache>
                <c:ptCount val="4"/>
                <c:pt idx="0">
                  <c:v>0</c:v>
                </c:pt>
                <c:pt idx="1">
                  <c:v>0</c:v>
                </c:pt>
                <c:pt idx="2">
                  <c:v>0</c:v>
                </c:pt>
                <c:pt idx="3">
                  <c:v>0</c:v>
                </c:pt>
              </c:numCache>
            </c:numRef>
          </c:xVal>
          <c:yVal>
            <c:numRef>
              <c:f>'Scenario Costs Provincial'!$AA$135:$AA$138</c:f>
              <c:numCache>
                <c:ptCount val="4"/>
                <c:pt idx="0">
                  <c:v>0</c:v>
                </c:pt>
                <c:pt idx="1">
                  <c:v>0</c:v>
                </c:pt>
                <c:pt idx="2">
                  <c:v>0</c:v>
                </c:pt>
                <c:pt idx="3">
                  <c:v>0</c:v>
                </c:pt>
              </c:numCache>
            </c:numRef>
          </c:yVal>
          <c:smooth val="1"/>
        </c:ser>
        <c:ser>
          <c:idx val="5"/>
          <c:order val="2"/>
          <c:tx>
            <c:strRef>
              <c:f>'Scenario Costs Provincial'!$X$133:$X$134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numRef>
              <c:f>'Scenario Costs Provincial'!$A$135:$A$138</c:f>
              <c:numCache>
                <c:ptCount val="4"/>
                <c:pt idx="0">
                  <c:v>0</c:v>
                </c:pt>
                <c:pt idx="1">
                  <c:v>0</c:v>
                </c:pt>
                <c:pt idx="2">
                  <c:v>0</c:v>
                </c:pt>
                <c:pt idx="3">
                  <c:v>0</c:v>
                </c:pt>
              </c:numCache>
            </c:numRef>
          </c:xVal>
          <c:yVal>
            <c:numRef>
              <c:f>'Scenario Costs Provincial'!$AB$135:$AB$138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Provincial'!$A$135:$A$138</c:f>
              <c:numCache>
                <c:ptCount val="4"/>
                <c:pt idx="0">
                  <c:v>0</c:v>
                </c:pt>
                <c:pt idx="1">
                  <c:v>0</c:v>
                </c:pt>
                <c:pt idx="2">
                  <c:v>0</c:v>
                </c:pt>
                <c:pt idx="3">
                  <c:v>0</c:v>
                </c:pt>
              </c:numCache>
            </c:numRef>
          </c:xVal>
          <c:yVal>
            <c:numRef>
              <c:f>'Scenario Costs Provincial'!$Q$135:$Q$138</c:f>
              <c:numCache>
                <c:ptCount val="4"/>
                <c:pt idx="0">
                  <c:v>0</c:v>
                </c:pt>
                <c:pt idx="1">
                  <c:v>0</c:v>
                </c:pt>
                <c:pt idx="2">
                  <c:v>0</c:v>
                </c:pt>
                <c:pt idx="3">
                  <c:v>0</c:v>
                </c:pt>
              </c:numCache>
            </c:numRef>
          </c:yVal>
          <c:smooth val="1"/>
        </c:ser>
        <c:axId val="44693379"/>
        <c:axId val="66696092"/>
      </c:scatterChart>
      <c:valAx>
        <c:axId val="44693379"/>
        <c:scaling>
          <c:orientation val="minMax"/>
          <c:max val="20"/>
        </c:scaling>
        <c:axPos val="b"/>
        <c:title>
          <c:tx>
            <c:rich>
              <a:bodyPr vert="horz" rot="0" anchor="ctr"/>
              <a:lstStyle/>
              <a:p>
                <a:pPr algn="ctr">
                  <a:defRPr/>
                </a:pPr>
                <a:r>
                  <a:rPr lang="en-US" cap="none" sz="825"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66696092"/>
        <c:crosses val="autoZero"/>
        <c:crossBetween val="midCat"/>
        <c:dispUnits/>
      </c:valAx>
      <c:valAx>
        <c:axId val="66696092"/>
        <c:scaling>
          <c:orientation val="minMax"/>
          <c:max val="5500000"/>
          <c:min val="1000000"/>
        </c:scaling>
        <c:axPos val="l"/>
        <c:title>
          <c:tx>
            <c:rich>
              <a:bodyPr vert="horz" rot="-5400000" anchor="ctr"/>
              <a:lstStyle/>
              <a:p>
                <a:pPr algn="ctr">
                  <a:defRPr/>
                </a:pPr>
                <a:r>
                  <a:rPr lang="en-US" cap="none" sz="825"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crossAx val="44693379"/>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r"/>
      <c:layout>
        <c:manualLayout>
          <c:xMode val="edge"/>
          <c:yMode val="edge"/>
          <c:x val="0.05025"/>
          <c:y val="0.9302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8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Price per kg treated</a:t>
            </a:r>
          </a:p>
        </c:rich>
      </c:tx>
      <c:layout/>
      <c:spPr>
        <a:noFill/>
        <a:ln>
          <a:noFill/>
        </a:ln>
      </c:spPr>
    </c:title>
    <c:plotArea>
      <c:layout/>
      <c:scatterChart>
        <c:scatterStyle val="smoothMarker"/>
        <c:varyColors val="0"/>
        <c:ser>
          <c:idx val="0"/>
          <c:order val="0"/>
          <c:tx>
            <c:strRef>
              <c:f>'Treatment Scenario Costs'!$A$30</c:f>
              <c:strCache>
                <c:ptCount val="1"/>
                <c:pt idx="0">
                  <c:v>Microwave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'Treatment Scenario Costs'!$D$26:$G$26</c:f>
              <c:numCache>
                <c:ptCount val="4"/>
                <c:pt idx="0">
                  <c:v>0</c:v>
                </c:pt>
                <c:pt idx="1">
                  <c:v>0</c:v>
                </c:pt>
                <c:pt idx="2">
                  <c:v>0</c:v>
                </c:pt>
                <c:pt idx="3">
                  <c:v>0</c:v>
                </c:pt>
              </c:numCache>
            </c:numRef>
          </c:xVal>
          <c:yVal>
            <c:numRef>
              <c:f>'Treatment Scenario Costs'!$D$30:$G$30</c:f>
              <c:numCache>
                <c:ptCount val="4"/>
                <c:pt idx="0">
                  <c:v>0</c:v>
                </c:pt>
                <c:pt idx="1">
                  <c:v>0</c:v>
                </c:pt>
                <c:pt idx="2">
                  <c:v>0</c:v>
                </c:pt>
                <c:pt idx="3">
                  <c:v>0</c:v>
                </c:pt>
              </c:numCache>
            </c:numRef>
          </c:yVal>
          <c:smooth val="1"/>
        </c:ser>
        <c:ser>
          <c:idx val="1"/>
          <c:order val="1"/>
          <c:tx>
            <c:strRef>
              <c:f>'Treatment Scenario Costs'!$A$31</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'Treatment Scenario Costs'!$D$26:$G$26</c:f>
              <c:numCache>
                <c:ptCount val="4"/>
                <c:pt idx="0">
                  <c:v>0</c:v>
                </c:pt>
                <c:pt idx="1">
                  <c:v>0</c:v>
                </c:pt>
                <c:pt idx="2">
                  <c:v>0</c:v>
                </c:pt>
                <c:pt idx="3">
                  <c:v>0</c:v>
                </c:pt>
              </c:numCache>
            </c:numRef>
          </c:xVal>
          <c:yVal>
            <c:numRef>
              <c:f>'Treatment Scenario Costs'!$D$31:$G$31</c:f>
              <c:numCache>
                <c:ptCount val="4"/>
                <c:pt idx="0">
                  <c:v>0</c:v>
                </c:pt>
                <c:pt idx="1">
                  <c:v>0</c:v>
                </c:pt>
                <c:pt idx="2">
                  <c:v>0</c:v>
                </c:pt>
                <c:pt idx="3">
                  <c:v>0</c:v>
                </c:pt>
              </c:numCache>
            </c:numRef>
          </c:yVal>
          <c:smooth val="1"/>
        </c:ser>
        <c:ser>
          <c:idx val="2"/>
          <c:order val="2"/>
          <c:tx>
            <c:strRef>
              <c:f>'Treatment Scenario Costs'!$A$32</c:f>
              <c:strCache>
                <c:ptCount val="1"/>
                <c:pt idx="0">
                  <c:v>Incineration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99CC00"/>
                </a:solidFill>
              </a:ln>
            </c:spPr>
          </c:marker>
          <c:xVal>
            <c:numRef>
              <c:f>'Treatment Scenario Costs'!$D$26:$G$26</c:f>
              <c:numCache>
                <c:ptCount val="4"/>
                <c:pt idx="0">
                  <c:v>0</c:v>
                </c:pt>
                <c:pt idx="1">
                  <c:v>0</c:v>
                </c:pt>
                <c:pt idx="2">
                  <c:v>0</c:v>
                </c:pt>
                <c:pt idx="3">
                  <c:v>0</c:v>
                </c:pt>
              </c:numCache>
            </c:numRef>
          </c:xVal>
          <c:yVal>
            <c:numRef>
              <c:f>'Treatment Scenario Costs'!$D$32:$G$32</c:f>
              <c:numCache>
                <c:ptCount val="4"/>
                <c:pt idx="0">
                  <c:v>0</c:v>
                </c:pt>
                <c:pt idx="1">
                  <c:v>0</c:v>
                </c:pt>
                <c:pt idx="2">
                  <c:v>0</c:v>
                </c:pt>
                <c:pt idx="3">
                  <c:v>0</c:v>
                </c:pt>
              </c:numCache>
            </c:numRef>
          </c:yVal>
          <c:smooth val="1"/>
        </c:ser>
        <c:axId val="63393917"/>
        <c:axId val="33674342"/>
      </c:scatterChart>
      <c:valAx>
        <c:axId val="63393917"/>
        <c:scaling>
          <c:orientation val="minMax"/>
        </c:scaling>
        <c:axPos val="b"/>
        <c:title>
          <c:tx>
            <c:rich>
              <a:bodyPr vert="horz" rot="0" anchor="ctr"/>
              <a:lstStyle/>
              <a:p>
                <a:pPr algn="ctr">
                  <a:defRPr/>
                </a:pPr>
                <a:r>
                  <a:rPr lang="en-US" cap="none" sz="875" b="1" i="0" u="none" baseline="0">
                    <a:latin typeface="Arial"/>
                    <a:ea typeface="Arial"/>
                    <a:cs typeface="Arial"/>
                  </a:rPr>
                  <a:t>Throughput kg/hr</a:t>
                </a:r>
              </a:p>
            </c:rich>
          </c:tx>
          <c:layout/>
          <c:overlay val="0"/>
          <c:spPr>
            <a:noFill/>
            <a:ln>
              <a:noFill/>
            </a:ln>
          </c:spPr>
        </c:title>
        <c:majorGridlines/>
        <c:minorGridlines/>
        <c:delete val="0"/>
        <c:numFmt formatCode="General" sourceLinked="1"/>
        <c:majorTickMark val="out"/>
        <c:minorTickMark val="none"/>
        <c:tickLblPos val="nextTo"/>
        <c:crossAx val="33674342"/>
        <c:crosses val="autoZero"/>
        <c:crossBetween val="midCat"/>
        <c:dispUnits/>
      </c:valAx>
      <c:valAx>
        <c:axId val="33674342"/>
        <c:scaling>
          <c:orientation val="minMax"/>
        </c:scaling>
        <c:axPos val="l"/>
        <c:title>
          <c:tx>
            <c:rich>
              <a:bodyPr vert="horz" rot="-5400000" anchor="ctr"/>
              <a:lstStyle/>
              <a:p>
                <a:pPr algn="ctr">
                  <a:defRPr/>
                </a:pPr>
                <a:r>
                  <a:rPr lang="en-US" cap="none" sz="950" b="1" i="0" u="none" baseline="0">
                    <a:latin typeface="Arial"/>
                    <a:ea typeface="Arial"/>
                    <a:cs typeface="Arial"/>
                  </a:rPr>
                  <a:t>Price  R / kg</a:t>
                </a:r>
              </a:p>
            </c:rich>
          </c:tx>
          <c:layout/>
          <c:overlay val="0"/>
          <c:spPr>
            <a:noFill/>
            <a:ln>
              <a:noFill/>
            </a:ln>
          </c:spPr>
        </c:title>
        <c:majorGridlines/>
        <c:delete val="0"/>
        <c:numFmt formatCode="General" sourceLinked="1"/>
        <c:majorTickMark val="out"/>
        <c:minorTickMark val="none"/>
        <c:tickLblPos val="nextTo"/>
        <c:crossAx val="63393917"/>
        <c:crosses val="autoZero"/>
        <c:crossBetween val="midCat"/>
        <c:dispUnits/>
        <c:majorUnit val="0.5"/>
        <c:minorUnit val="0.1"/>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Capital Cost</a:t>
            </a:r>
          </a:p>
        </c:rich>
      </c:tx>
      <c:layout/>
      <c:spPr>
        <a:noFill/>
        <a:ln>
          <a:noFill/>
        </a:ln>
      </c:spPr>
    </c:title>
    <c:plotArea>
      <c:layout/>
      <c:scatterChart>
        <c:scatterStyle val="smoothMarker"/>
        <c:varyColors val="0"/>
        <c:ser>
          <c:idx val="0"/>
          <c:order val="0"/>
          <c:tx>
            <c:strRef>
              <c:f>'Treatment Scenario Costs'!$K$27</c:f>
              <c:strCache>
                <c:ptCount val="1"/>
                <c:pt idx="0">
                  <c:v>Microwave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'Treatment Scenario Costs'!$N$26:$Q$26</c:f>
              <c:numCache>
                <c:ptCount val="4"/>
                <c:pt idx="0">
                  <c:v>0</c:v>
                </c:pt>
                <c:pt idx="1">
                  <c:v>0</c:v>
                </c:pt>
                <c:pt idx="2">
                  <c:v>0</c:v>
                </c:pt>
                <c:pt idx="3">
                  <c:v>0</c:v>
                </c:pt>
              </c:numCache>
            </c:numRef>
          </c:xVal>
          <c:yVal>
            <c:numRef>
              <c:f>'Treatment Scenario Costs'!$N$27:$Q$27</c:f>
              <c:numCache>
                <c:ptCount val="4"/>
                <c:pt idx="0">
                  <c:v>0</c:v>
                </c:pt>
                <c:pt idx="1">
                  <c:v>0</c:v>
                </c:pt>
                <c:pt idx="2">
                  <c:v>0</c:v>
                </c:pt>
                <c:pt idx="3">
                  <c:v>0</c:v>
                </c:pt>
              </c:numCache>
            </c:numRef>
          </c:yVal>
          <c:smooth val="1"/>
        </c:ser>
        <c:ser>
          <c:idx val="1"/>
          <c:order val="1"/>
          <c:tx>
            <c:strRef>
              <c:f>'Treatment Scenario Costs'!$K$28</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'Treatment Scenario Costs'!$N$26:$Q$26</c:f>
              <c:numCache>
                <c:ptCount val="4"/>
                <c:pt idx="0">
                  <c:v>0</c:v>
                </c:pt>
                <c:pt idx="1">
                  <c:v>0</c:v>
                </c:pt>
                <c:pt idx="2">
                  <c:v>0</c:v>
                </c:pt>
                <c:pt idx="3">
                  <c:v>0</c:v>
                </c:pt>
              </c:numCache>
            </c:numRef>
          </c:xVal>
          <c:yVal>
            <c:numRef>
              <c:f>'Treatment Scenario Costs'!$N$28:$Q$28</c:f>
              <c:numCache>
                <c:ptCount val="4"/>
                <c:pt idx="0">
                  <c:v>0</c:v>
                </c:pt>
                <c:pt idx="1">
                  <c:v>0</c:v>
                </c:pt>
                <c:pt idx="2">
                  <c:v>0</c:v>
                </c:pt>
                <c:pt idx="3">
                  <c:v>0</c:v>
                </c:pt>
              </c:numCache>
            </c:numRef>
          </c:yVal>
          <c:smooth val="1"/>
        </c:ser>
        <c:ser>
          <c:idx val="2"/>
          <c:order val="2"/>
          <c:tx>
            <c:strRef>
              <c:f>'Treatment Scenario Costs'!$K$29</c:f>
              <c:strCache>
                <c:ptCount val="1"/>
                <c:pt idx="0">
                  <c:v>Incineration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99CC00"/>
                </a:solidFill>
              </a:ln>
            </c:spPr>
          </c:marker>
          <c:xVal>
            <c:numRef>
              <c:f>'Treatment Scenario Costs'!$N$26:$Q$26</c:f>
              <c:numCache>
                <c:ptCount val="4"/>
                <c:pt idx="0">
                  <c:v>0</c:v>
                </c:pt>
                <c:pt idx="1">
                  <c:v>0</c:v>
                </c:pt>
                <c:pt idx="2">
                  <c:v>0</c:v>
                </c:pt>
                <c:pt idx="3">
                  <c:v>0</c:v>
                </c:pt>
              </c:numCache>
            </c:numRef>
          </c:xVal>
          <c:yVal>
            <c:numRef>
              <c:f>'Treatment Scenario Costs'!$N$29:$Q$29</c:f>
              <c:numCache>
                <c:ptCount val="4"/>
                <c:pt idx="0">
                  <c:v>0</c:v>
                </c:pt>
                <c:pt idx="1">
                  <c:v>0</c:v>
                </c:pt>
                <c:pt idx="2">
                  <c:v>0</c:v>
                </c:pt>
                <c:pt idx="3">
                  <c:v>0</c:v>
                </c:pt>
              </c:numCache>
            </c:numRef>
          </c:yVal>
          <c:smooth val="1"/>
        </c:ser>
        <c:axId val="34633623"/>
        <c:axId val="43267152"/>
      </c:scatterChart>
      <c:valAx>
        <c:axId val="34633623"/>
        <c:scaling>
          <c:orientation val="minMax"/>
        </c:scaling>
        <c:axPos val="b"/>
        <c:title>
          <c:tx>
            <c:rich>
              <a:bodyPr vert="horz" rot="0" anchor="ctr"/>
              <a:lstStyle/>
              <a:p>
                <a:pPr algn="ctr">
                  <a:defRPr/>
                </a:pPr>
                <a:r>
                  <a:rPr lang="en-US" cap="none" sz="875" b="1" i="0" u="none" baseline="0">
                    <a:latin typeface="Arial"/>
                    <a:ea typeface="Arial"/>
                    <a:cs typeface="Arial"/>
                  </a:rPr>
                  <a:t>Capacity</a:t>
                </a:r>
              </a:p>
            </c:rich>
          </c:tx>
          <c:layout/>
          <c:overlay val="0"/>
          <c:spPr>
            <a:noFill/>
            <a:ln>
              <a:noFill/>
            </a:ln>
          </c:spPr>
        </c:title>
        <c:majorGridlines/>
        <c:delete val="0"/>
        <c:numFmt formatCode="General" sourceLinked="1"/>
        <c:majorTickMark val="out"/>
        <c:minorTickMark val="none"/>
        <c:tickLblPos val="nextTo"/>
        <c:crossAx val="43267152"/>
        <c:crosses val="autoZero"/>
        <c:crossBetween val="midCat"/>
        <c:dispUnits/>
      </c:valAx>
      <c:valAx>
        <c:axId val="43267152"/>
        <c:scaling>
          <c:orientation val="minMax"/>
        </c:scaling>
        <c:axPos val="l"/>
        <c:majorGridlines/>
        <c:delete val="0"/>
        <c:numFmt formatCode="General" sourceLinked="1"/>
        <c:majorTickMark val="out"/>
        <c:minorTickMark val="none"/>
        <c:tickLblPos val="nextTo"/>
        <c:crossAx val="34633623"/>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Annual Running Cost </a:t>
            </a:r>
          </a:p>
        </c:rich>
      </c:tx>
      <c:layout/>
      <c:spPr>
        <a:noFill/>
        <a:ln>
          <a:noFill/>
        </a:ln>
      </c:spPr>
    </c:title>
    <c:plotArea>
      <c:layout/>
      <c:scatterChart>
        <c:scatterStyle val="smoothMarker"/>
        <c:varyColors val="0"/>
        <c:ser>
          <c:idx val="0"/>
          <c:order val="0"/>
          <c:tx>
            <c:strRef>
              <c:f>'Treatment Scenario Costs'!$A$27</c:f>
              <c:strCache>
                <c:ptCount val="1"/>
                <c:pt idx="0">
                  <c:v>Microwave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'Treatment Scenario Costs'!$D$26:$G$26</c:f>
              <c:numCache>
                <c:ptCount val="4"/>
                <c:pt idx="0">
                  <c:v>0</c:v>
                </c:pt>
                <c:pt idx="1">
                  <c:v>0</c:v>
                </c:pt>
                <c:pt idx="2">
                  <c:v>0</c:v>
                </c:pt>
                <c:pt idx="3">
                  <c:v>0</c:v>
                </c:pt>
              </c:numCache>
            </c:numRef>
          </c:xVal>
          <c:yVal>
            <c:numRef>
              <c:f>'Treatment Scenario Costs'!$D$27:$G$27</c:f>
              <c:numCache>
                <c:ptCount val="4"/>
                <c:pt idx="0">
                  <c:v>0</c:v>
                </c:pt>
                <c:pt idx="1">
                  <c:v>0</c:v>
                </c:pt>
                <c:pt idx="2">
                  <c:v>0</c:v>
                </c:pt>
                <c:pt idx="3">
                  <c:v>0</c:v>
                </c:pt>
              </c:numCache>
            </c:numRef>
          </c:yVal>
          <c:smooth val="1"/>
        </c:ser>
        <c:ser>
          <c:idx val="1"/>
          <c:order val="1"/>
          <c:tx>
            <c:strRef>
              <c:f>'Treatment Scenario Costs'!$A$28</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'Treatment Scenario Costs'!$D$26:$G$26</c:f>
              <c:numCache>
                <c:ptCount val="4"/>
                <c:pt idx="0">
                  <c:v>0</c:v>
                </c:pt>
                <c:pt idx="1">
                  <c:v>0</c:v>
                </c:pt>
                <c:pt idx="2">
                  <c:v>0</c:v>
                </c:pt>
                <c:pt idx="3">
                  <c:v>0</c:v>
                </c:pt>
              </c:numCache>
            </c:numRef>
          </c:xVal>
          <c:yVal>
            <c:numRef>
              <c:f>'Treatment Scenario Costs'!$D$28:$G$28</c:f>
              <c:numCache>
                <c:ptCount val="4"/>
                <c:pt idx="0">
                  <c:v>0</c:v>
                </c:pt>
                <c:pt idx="1">
                  <c:v>0</c:v>
                </c:pt>
                <c:pt idx="2">
                  <c:v>0</c:v>
                </c:pt>
                <c:pt idx="3">
                  <c:v>0</c:v>
                </c:pt>
              </c:numCache>
            </c:numRef>
          </c:yVal>
          <c:smooth val="1"/>
        </c:ser>
        <c:ser>
          <c:idx val="2"/>
          <c:order val="2"/>
          <c:tx>
            <c:strRef>
              <c:f>'Treatment Scenario Costs'!$A$29</c:f>
              <c:strCache>
                <c:ptCount val="1"/>
                <c:pt idx="0">
                  <c:v>Incineration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99CC00"/>
                </a:solidFill>
              </a:ln>
            </c:spPr>
          </c:marker>
          <c:xVal>
            <c:numRef>
              <c:f>'Treatment Scenario Costs'!$D$26:$G$26</c:f>
              <c:numCache>
                <c:ptCount val="4"/>
                <c:pt idx="0">
                  <c:v>0</c:v>
                </c:pt>
                <c:pt idx="1">
                  <c:v>0</c:v>
                </c:pt>
                <c:pt idx="2">
                  <c:v>0</c:v>
                </c:pt>
                <c:pt idx="3">
                  <c:v>0</c:v>
                </c:pt>
              </c:numCache>
            </c:numRef>
          </c:xVal>
          <c:yVal>
            <c:numRef>
              <c:f>'Treatment Scenario Costs'!$D$29:$G$29</c:f>
              <c:numCache>
                <c:ptCount val="4"/>
                <c:pt idx="0">
                  <c:v>0</c:v>
                </c:pt>
                <c:pt idx="1">
                  <c:v>0</c:v>
                </c:pt>
                <c:pt idx="2">
                  <c:v>0</c:v>
                </c:pt>
                <c:pt idx="3">
                  <c:v>0</c:v>
                </c:pt>
              </c:numCache>
            </c:numRef>
          </c:yVal>
          <c:smooth val="1"/>
        </c:ser>
        <c:axId val="53860049"/>
        <c:axId val="14978394"/>
      </c:scatterChart>
      <c:valAx>
        <c:axId val="53860049"/>
        <c:scaling>
          <c:orientation val="minMax"/>
        </c:scaling>
        <c:axPos val="b"/>
        <c:title>
          <c:tx>
            <c:rich>
              <a:bodyPr vert="horz" rot="0" anchor="ctr"/>
              <a:lstStyle/>
              <a:p>
                <a:pPr algn="ctr">
                  <a:defRPr/>
                </a:pPr>
                <a:r>
                  <a:rPr lang="en-US" cap="none" sz="875" b="1" i="0" u="none" baseline="0">
                    <a:latin typeface="Arial"/>
                    <a:ea typeface="Arial"/>
                    <a:cs typeface="Arial"/>
                  </a:rPr>
                  <a:t>Throughput</a:t>
                </a:r>
              </a:p>
            </c:rich>
          </c:tx>
          <c:layout/>
          <c:overlay val="0"/>
          <c:spPr>
            <a:noFill/>
            <a:ln>
              <a:noFill/>
            </a:ln>
          </c:spPr>
        </c:title>
        <c:majorGridlines/>
        <c:delete val="0"/>
        <c:numFmt formatCode="General" sourceLinked="1"/>
        <c:majorTickMark val="out"/>
        <c:minorTickMark val="none"/>
        <c:tickLblPos val="nextTo"/>
        <c:crossAx val="14978394"/>
        <c:crosses val="autoZero"/>
        <c:crossBetween val="midCat"/>
        <c:dispUnits/>
      </c:valAx>
      <c:valAx>
        <c:axId val="14978394"/>
        <c:scaling>
          <c:orientation val="minMax"/>
        </c:scaling>
        <c:axPos val="l"/>
        <c:majorGridlines/>
        <c:delete val="0"/>
        <c:numFmt formatCode="General" sourceLinked="1"/>
        <c:majorTickMark val="out"/>
        <c:minorTickMark val="none"/>
        <c:tickLblPos val="nextTo"/>
        <c:crossAx val="53860049"/>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Total Monthly Cost - Provincial health-care facilities only
(Incineration)</a:t>
            </a:r>
          </a:p>
        </c:rich>
      </c:tx>
      <c:layout>
        <c:manualLayout>
          <c:xMode val="factor"/>
          <c:yMode val="factor"/>
          <c:x val="0"/>
          <c:y val="0"/>
        </c:manualLayout>
      </c:layout>
      <c:spPr>
        <a:noFill/>
        <a:ln>
          <a:noFill/>
        </a:ln>
      </c:spPr>
    </c:title>
    <c:view3D>
      <c:rotX val="2"/>
      <c:rotY val="326"/>
      <c:depthPercent val="120"/>
      <c:rAngAx val="0"/>
      <c:perspective val="25"/>
    </c:view3D>
    <c:plotArea>
      <c:layout>
        <c:manualLayout>
          <c:xMode val="edge"/>
          <c:yMode val="edge"/>
          <c:x val="0.009"/>
          <c:y val="0.18025"/>
          <c:w val="0.85075"/>
          <c:h val="0.767"/>
        </c:manualLayout>
      </c:layout>
      <c:bar3DChart>
        <c:barDir val="col"/>
        <c:grouping val="standard"/>
        <c:varyColors val="0"/>
        <c:ser>
          <c:idx val="2"/>
          <c:order val="0"/>
          <c:tx>
            <c:v>S.3 - Incinerator</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'Cost Summary'!$D$46:$D$49</c:f>
              <c:numCache>
                <c:ptCount val="4"/>
                <c:pt idx="0">
                  <c:v>0</c:v>
                </c:pt>
                <c:pt idx="1">
                  <c:v>0</c:v>
                </c:pt>
                <c:pt idx="2">
                  <c:v>0</c:v>
                </c:pt>
                <c:pt idx="3">
                  <c:v>0</c:v>
                </c:pt>
              </c:numCache>
            </c:numRef>
          </c:cat>
          <c:val>
            <c:numRef>
              <c:f>'Cost Summary'!$N$46:$N$49</c:f>
              <c:numCache>
                <c:ptCount val="4"/>
                <c:pt idx="0">
                  <c:v>0</c:v>
                </c:pt>
                <c:pt idx="1">
                  <c:v>0</c:v>
                </c:pt>
                <c:pt idx="2">
                  <c:v>0</c:v>
                </c:pt>
                <c:pt idx="3">
                  <c:v>0</c:v>
                </c:pt>
              </c:numCache>
            </c:numRef>
          </c:val>
          <c:shape val="box"/>
        </c:ser>
        <c:ser>
          <c:idx val="3"/>
          <c:order val="1"/>
          <c:tx>
            <c:v>S. 4a - Incinerator</c:v>
          </c:tx>
          <c:invertIfNegative val="0"/>
          <c:extLst>
            <c:ext xmlns:c14="http://schemas.microsoft.com/office/drawing/2007/8/2/chart" uri="{6F2FDCE9-48DA-4B69-8628-5D25D57E5C99}">
              <c14:invertSolidFillFmt>
                <c14:spPr>
                  <a:solidFill>
                    <a:srgbClr val="000000"/>
                  </a:solidFill>
                </c14:spPr>
              </c14:invertSolidFillFmt>
            </c:ext>
          </c:extLst>
          <c:val>
            <c:numRef>
              <c:f>'Cost Summary'!$Z$46:$Z$49</c:f>
              <c:numCache>
                <c:ptCount val="4"/>
                <c:pt idx="0">
                  <c:v>0</c:v>
                </c:pt>
                <c:pt idx="1">
                  <c:v>0</c:v>
                </c:pt>
                <c:pt idx="2">
                  <c:v>0</c:v>
                </c:pt>
                <c:pt idx="3">
                  <c:v>0</c:v>
                </c:pt>
              </c:numCache>
            </c:numRef>
          </c:val>
          <c:shape val="box"/>
        </c:ser>
        <c:ser>
          <c:idx val="0"/>
          <c:order val="2"/>
          <c:tx>
            <c:v>S.3a - Incinerator</c:v>
          </c:tx>
          <c:invertIfNegative val="0"/>
          <c:extLst>
            <c:ext xmlns:c14="http://schemas.microsoft.com/office/drawing/2007/8/2/chart" uri="{6F2FDCE9-48DA-4B69-8628-5D25D57E5C99}">
              <c14:invertSolidFillFmt>
                <c14:spPr>
                  <a:solidFill>
                    <a:srgbClr val="000000"/>
                  </a:solidFill>
                </c14:spPr>
              </c14:invertSolidFillFmt>
            </c:ext>
          </c:extLst>
          <c:cat>
            <c:numRef>
              <c:f>'Cost Summary'!$D$46:$D$49</c:f>
              <c:numCache>
                <c:ptCount val="4"/>
                <c:pt idx="0">
                  <c:v>0</c:v>
                </c:pt>
                <c:pt idx="1">
                  <c:v>0</c:v>
                </c:pt>
                <c:pt idx="2">
                  <c:v>0</c:v>
                </c:pt>
                <c:pt idx="3">
                  <c:v>0</c:v>
                </c:pt>
              </c:numCache>
            </c:numRef>
          </c:cat>
          <c:val>
            <c:numRef>
              <c:f>'Cost Summary'!$R$46:$R$49</c:f>
              <c:numCache>
                <c:ptCount val="4"/>
                <c:pt idx="0">
                  <c:v>0</c:v>
                </c:pt>
                <c:pt idx="1">
                  <c:v>0</c:v>
                </c:pt>
                <c:pt idx="2">
                  <c:v>0</c:v>
                </c:pt>
                <c:pt idx="3">
                  <c:v>0</c:v>
                </c:pt>
              </c:numCache>
            </c:numRef>
          </c:val>
          <c:shape val="box"/>
        </c:ser>
        <c:ser>
          <c:idx val="1"/>
          <c:order val="3"/>
          <c:tx>
            <c:v>S.1 - Incinerator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'Cost Summary'!$D$46:$D$49</c:f>
              <c:numCache>
                <c:ptCount val="4"/>
                <c:pt idx="0">
                  <c:v>0</c:v>
                </c:pt>
                <c:pt idx="1">
                  <c:v>0</c:v>
                </c:pt>
                <c:pt idx="2">
                  <c:v>0</c:v>
                </c:pt>
                <c:pt idx="3">
                  <c:v>0</c:v>
                </c:pt>
              </c:numCache>
            </c:numRef>
          </c:cat>
          <c:val>
            <c:numRef>
              <c:f>'Cost Summary'!$F$46:$F$49</c:f>
              <c:numCache>
                <c:ptCount val="4"/>
                <c:pt idx="0">
                  <c:v>0</c:v>
                </c:pt>
                <c:pt idx="1">
                  <c:v>0</c:v>
                </c:pt>
                <c:pt idx="2">
                  <c:v>0</c:v>
                </c:pt>
                <c:pt idx="3">
                  <c:v>0</c:v>
                </c:pt>
              </c:numCache>
            </c:numRef>
          </c:val>
          <c:shape val="box"/>
        </c:ser>
        <c:ser>
          <c:idx val="10"/>
          <c:order val="4"/>
          <c:tx>
            <c:v>S.2 - Incinerator</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'Cost Summary'!$D$46:$D$49</c:f>
              <c:numCache>
                <c:ptCount val="4"/>
                <c:pt idx="0">
                  <c:v>0</c:v>
                </c:pt>
                <c:pt idx="1">
                  <c:v>0</c:v>
                </c:pt>
                <c:pt idx="2">
                  <c:v>0</c:v>
                </c:pt>
                <c:pt idx="3">
                  <c:v>0</c:v>
                </c:pt>
              </c:numCache>
            </c:numRef>
          </c:cat>
          <c:val>
            <c:numRef>
              <c:f>'Cost Summary'!$J$46:$J$49</c:f>
              <c:numCache>
                <c:ptCount val="4"/>
                <c:pt idx="0">
                  <c:v>0</c:v>
                </c:pt>
                <c:pt idx="1">
                  <c:v>0</c:v>
                </c:pt>
                <c:pt idx="2">
                  <c:v>0</c:v>
                </c:pt>
                <c:pt idx="3">
                  <c:v>0</c:v>
                </c:pt>
              </c:numCache>
            </c:numRef>
          </c:val>
          <c:shape val="box"/>
        </c:ser>
        <c:ser>
          <c:idx val="5"/>
          <c:order val="5"/>
          <c:tx>
            <c:v>S.4 - Incinerator</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'Cost Summary'!$D$46:$D$49</c:f>
              <c:numCache>
                <c:ptCount val="4"/>
                <c:pt idx="0">
                  <c:v>0</c:v>
                </c:pt>
                <c:pt idx="1">
                  <c:v>0</c:v>
                </c:pt>
                <c:pt idx="2">
                  <c:v>0</c:v>
                </c:pt>
                <c:pt idx="3">
                  <c:v>0</c:v>
                </c:pt>
              </c:numCache>
            </c:numRef>
          </c:cat>
          <c:val>
            <c:numRef>
              <c:f>'Cost Summary'!$V$46:$V$49</c:f>
              <c:numCache>
                <c:ptCount val="4"/>
                <c:pt idx="0">
                  <c:v>0</c:v>
                </c:pt>
                <c:pt idx="1">
                  <c:v>0</c:v>
                </c:pt>
                <c:pt idx="2">
                  <c:v>0</c:v>
                </c:pt>
                <c:pt idx="3">
                  <c:v>0</c:v>
                </c:pt>
              </c:numCache>
            </c:numRef>
          </c:val>
          <c:shape val="box"/>
        </c:ser>
        <c:gapWidth val="100"/>
        <c:gapDepth val="100"/>
        <c:shape val="box"/>
        <c:axId val="28692166"/>
        <c:axId val="56902903"/>
        <c:axId val="42364080"/>
      </c:bar3DChart>
      <c:catAx>
        <c:axId val="28692166"/>
        <c:scaling>
          <c:orientation val="minMax"/>
        </c:scaling>
        <c:axPos val="b"/>
        <c:title>
          <c:tx>
            <c:rich>
              <a:bodyPr vert="horz" rot="0" anchor="ctr"/>
              <a:lstStyle/>
              <a:p>
                <a:pPr algn="ctr">
                  <a:defRPr/>
                </a:pPr>
                <a:r>
                  <a:rPr lang="en-US" cap="none" sz="1000" b="1" i="0" u="none" baseline="0">
                    <a:latin typeface="Arial"/>
                    <a:ea typeface="Arial"/>
                    <a:cs typeface="Arial"/>
                  </a:rPr>
                  <a:t>Number of Treatment Facilities</a:t>
                </a:r>
              </a:p>
            </c:rich>
          </c:tx>
          <c:layout>
            <c:manualLayout>
              <c:xMode val="factor"/>
              <c:yMode val="factor"/>
              <c:x val="-0.11875"/>
              <c:y val="0.095"/>
            </c:manualLayout>
          </c:layout>
          <c:overlay val="0"/>
          <c:spPr>
            <a:noFill/>
            <a:ln>
              <a:noFill/>
            </a:ln>
          </c:spPr>
        </c:title>
        <c:delete val="0"/>
        <c:numFmt formatCode="General" sourceLinked="1"/>
        <c:majorTickMark val="out"/>
        <c:minorTickMark val="none"/>
        <c:tickLblPos val="low"/>
        <c:txPr>
          <a:bodyPr/>
          <a:lstStyle/>
          <a:p>
            <a:pPr>
              <a:defRPr lang="en-US" cap="none" sz="900" b="1" i="0" u="none" baseline="0">
                <a:latin typeface="Arial"/>
                <a:ea typeface="Arial"/>
                <a:cs typeface="Arial"/>
              </a:defRPr>
            </a:pPr>
          </a:p>
        </c:txPr>
        <c:crossAx val="56902903"/>
        <c:crosses val="autoZero"/>
        <c:auto val="0"/>
        <c:lblOffset val="100"/>
        <c:tickLblSkip val="1"/>
        <c:noMultiLvlLbl val="0"/>
      </c:catAx>
      <c:valAx>
        <c:axId val="56902903"/>
        <c:scaling>
          <c:orientation val="minMax"/>
        </c:scaling>
        <c:axPos val="l"/>
        <c:title>
          <c:tx>
            <c:rich>
              <a:bodyPr vert="horz" rot="0" anchor="ctr"/>
              <a:lstStyle/>
              <a:p>
                <a:pPr algn="ctr">
                  <a:defRPr/>
                </a:pPr>
                <a:r>
                  <a:rPr lang="en-US" cap="none" sz="1200" b="1" i="0" u="none" baseline="0">
                    <a:latin typeface="Arial"/>
                    <a:ea typeface="Arial"/>
                    <a:cs typeface="Arial"/>
                  </a:rPr>
                  <a:t>Total Monthly Cost
R million</a:t>
                </a:r>
              </a:p>
            </c:rich>
          </c:tx>
          <c:layout>
            <c:manualLayout>
              <c:xMode val="factor"/>
              <c:yMode val="factor"/>
              <c:x val="0.036"/>
              <c:y val="0.0055"/>
            </c:manualLayout>
          </c:layout>
          <c:overlay val="0"/>
          <c:spPr>
            <a:noFill/>
            <a:ln>
              <a:noFill/>
            </a:ln>
          </c:spPr>
        </c:title>
        <c:majorGridlines/>
        <c:delete val="0"/>
        <c:numFmt formatCode="&quot;R &quot;#,##0.00" sourceLinked="0"/>
        <c:majorTickMark val="out"/>
        <c:minorTickMark val="none"/>
        <c:tickLblPos val="nextTo"/>
        <c:txPr>
          <a:bodyPr/>
          <a:lstStyle/>
          <a:p>
            <a:pPr>
              <a:defRPr lang="en-US" cap="none" sz="900" b="1" i="0" u="none" baseline="0">
                <a:latin typeface="Arial"/>
                <a:ea typeface="Arial"/>
                <a:cs typeface="Arial"/>
              </a:defRPr>
            </a:pPr>
          </a:p>
        </c:txPr>
        <c:crossAx val="28692166"/>
        <c:crossesAt val="1"/>
        <c:crossBetween val="between"/>
        <c:dispUnits/>
      </c:valAx>
      <c:serAx>
        <c:axId val="42364080"/>
        <c:scaling>
          <c:orientation val="minMax"/>
        </c:scaling>
        <c:axPos val="b"/>
        <c:delete val="0"/>
        <c:numFmt formatCode="General" sourceLinked="1"/>
        <c:majorTickMark val="out"/>
        <c:minorTickMark val="none"/>
        <c:tickLblPos val="low"/>
        <c:txPr>
          <a:bodyPr vert="horz" rot="-2700000"/>
          <a:lstStyle/>
          <a:p>
            <a:pPr>
              <a:defRPr lang="en-US" cap="none" sz="1000" b="0" i="0" u="none" baseline="0">
                <a:latin typeface="Arial"/>
                <a:ea typeface="Arial"/>
                <a:cs typeface="Arial"/>
              </a:defRPr>
            </a:pPr>
          </a:p>
        </c:txPr>
        <c:crossAx val="56902903"/>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blipFill>
      <a:blip r:embed="rId2"/>
      <a:srcRect/>
      <a:tile sx="100000" sy="100000" flip="none" algn="tl"/>
    </a:blipFill>
  </c:spPr>
  <c:txPr>
    <a:bodyPr vert="horz" rot="0"/>
    <a:lstStyle/>
    <a:p>
      <a:pPr>
        <a:defRPr lang="en-US" cap="none" sz="10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Annual Running Cost </a:t>
            </a:r>
          </a:p>
        </c:rich>
      </c:tx>
      <c:layout/>
      <c:spPr>
        <a:noFill/>
        <a:ln>
          <a:noFill/>
        </a:ln>
      </c:spPr>
    </c:title>
    <c:plotArea>
      <c:layout/>
      <c:scatterChart>
        <c:scatterStyle val="smoothMarker"/>
        <c:varyColors val="0"/>
        <c:ser>
          <c:idx val="0"/>
          <c:order val="0"/>
          <c:tx>
            <c:strRef>
              <c:f>'Treatment Scenario Costs'!$A$81</c:f>
              <c:strCache>
                <c:ptCount val="1"/>
                <c:pt idx="0">
                  <c:v>Microwave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'Treatment Scenario Costs'!$D$80:$G$80</c:f>
              <c:numCache>
                <c:ptCount val="4"/>
                <c:pt idx="0">
                  <c:v>0</c:v>
                </c:pt>
                <c:pt idx="1">
                  <c:v>0</c:v>
                </c:pt>
                <c:pt idx="2">
                  <c:v>0</c:v>
                </c:pt>
                <c:pt idx="3">
                  <c:v>0</c:v>
                </c:pt>
              </c:numCache>
            </c:numRef>
          </c:xVal>
          <c:yVal>
            <c:numRef>
              <c:f>'Treatment Scenario Costs'!$D$81:$G$81</c:f>
              <c:numCache>
                <c:ptCount val="4"/>
                <c:pt idx="0">
                  <c:v>0</c:v>
                </c:pt>
                <c:pt idx="1">
                  <c:v>0</c:v>
                </c:pt>
                <c:pt idx="2">
                  <c:v>0</c:v>
                </c:pt>
                <c:pt idx="3">
                  <c:v>0</c:v>
                </c:pt>
              </c:numCache>
            </c:numRef>
          </c:yVal>
          <c:smooth val="1"/>
        </c:ser>
        <c:ser>
          <c:idx val="1"/>
          <c:order val="1"/>
          <c:tx>
            <c:strRef>
              <c:f>'Treatment Scenario Costs'!$A$82</c:f>
              <c:strCache>
                <c:ptCount val="1"/>
                <c:pt idx="0">
                  <c:v>Autoclave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'Treatment Scenario Costs'!$D$80:$G$80</c:f>
              <c:numCache>
                <c:ptCount val="4"/>
                <c:pt idx="0">
                  <c:v>0</c:v>
                </c:pt>
                <c:pt idx="1">
                  <c:v>0</c:v>
                </c:pt>
                <c:pt idx="2">
                  <c:v>0</c:v>
                </c:pt>
                <c:pt idx="3">
                  <c:v>0</c:v>
                </c:pt>
              </c:numCache>
            </c:numRef>
          </c:xVal>
          <c:yVal>
            <c:numRef>
              <c:f>'Treatment Scenario Costs'!$D$82:$G$82</c:f>
              <c:numCache>
                <c:ptCount val="4"/>
                <c:pt idx="0">
                  <c:v>0</c:v>
                </c:pt>
                <c:pt idx="1">
                  <c:v>0</c:v>
                </c:pt>
                <c:pt idx="2">
                  <c:v>0</c:v>
                </c:pt>
                <c:pt idx="3">
                  <c:v>0</c:v>
                </c:pt>
              </c:numCache>
            </c:numRef>
          </c:yVal>
          <c:smooth val="1"/>
        </c:ser>
        <c:ser>
          <c:idx val="2"/>
          <c:order val="2"/>
          <c:tx>
            <c:strRef>
              <c:f>'Treatment Scenario Costs'!$A$83</c:f>
              <c:strCache>
                <c:ptCount val="1"/>
                <c:pt idx="0">
                  <c:v>Incineration</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99CC00"/>
                </a:solidFill>
              </a:ln>
            </c:spPr>
          </c:marker>
          <c:xVal>
            <c:numRef>
              <c:f>'Treatment Scenario Costs'!$D$80:$G$80</c:f>
              <c:numCache>
                <c:ptCount val="4"/>
                <c:pt idx="0">
                  <c:v>0</c:v>
                </c:pt>
                <c:pt idx="1">
                  <c:v>0</c:v>
                </c:pt>
                <c:pt idx="2">
                  <c:v>0</c:v>
                </c:pt>
                <c:pt idx="3">
                  <c:v>0</c:v>
                </c:pt>
              </c:numCache>
            </c:numRef>
          </c:xVal>
          <c:yVal>
            <c:numRef>
              <c:f>'Treatment Scenario Costs'!$D$83:$G$83</c:f>
              <c:numCache>
                <c:ptCount val="4"/>
                <c:pt idx="0">
                  <c:v>0</c:v>
                </c:pt>
                <c:pt idx="1">
                  <c:v>0</c:v>
                </c:pt>
                <c:pt idx="2">
                  <c:v>0</c:v>
                </c:pt>
                <c:pt idx="3">
                  <c:v>0</c:v>
                </c:pt>
              </c:numCache>
            </c:numRef>
          </c:yVal>
          <c:smooth val="1"/>
        </c:ser>
        <c:axId val="587819"/>
        <c:axId val="5290372"/>
      </c:scatterChart>
      <c:valAx>
        <c:axId val="587819"/>
        <c:scaling>
          <c:orientation val="minMax"/>
        </c:scaling>
        <c:axPos val="b"/>
        <c:title>
          <c:tx>
            <c:rich>
              <a:bodyPr vert="horz" rot="0" anchor="ctr"/>
              <a:lstStyle/>
              <a:p>
                <a:pPr algn="ctr">
                  <a:defRPr/>
                </a:pPr>
                <a:r>
                  <a:rPr lang="en-US" cap="none" sz="875" b="1" i="0" u="none" baseline="0">
                    <a:latin typeface="Arial"/>
                    <a:ea typeface="Arial"/>
                    <a:cs typeface="Arial"/>
                  </a:rPr>
                  <a:t>Throughput</a:t>
                </a:r>
              </a:p>
            </c:rich>
          </c:tx>
          <c:layout/>
          <c:overlay val="0"/>
          <c:spPr>
            <a:noFill/>
            <a:ln>
              <a:noFill/>
            </a:ln>
          </c:spPr>
        </c:title>
        <c:majorGridlines/>
        <c:delete val="0"/>
        <c:numFmt formatCode="General" sourceLinked="1"/>
        <c:majorTickMark val="out"/>
        <c:minorTickMark val="none"/>
        <c:tickLblPos val="nextTo"/>
        <c:crossAx val="5290372"/>
        <c:crosses val="autoZero"/>
        <c:crossBetween val="midCat"/>
        <c:dispUnits/>
      </c:valAx>
      <c:valAx>
        <c:axId val="5290372"/>
        <c:scaling>
          <c:orientation val="minMax"/>
        </c:scaling>
        <c:axPos val="l"/>
        <c:majorGridlines/>
        <c:delete val="0"/>
        <c:numFmt formatCode="General" sourceLinked="1"/>
        <c:majorTickMark val="out"/>
        <c:minorTickMark val="none"/>
        <c:tickLblPos val="nextTo"/>
        <c:crossAx val="587819"/>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Capital Cost</a:t>
            </a:r>
          </a:p>
        </c:rich>
      </c:tx>
      <c:layout/>
      <c:spPr>
        <a:noFill/>
        <a:ln>
          <a:noFill/>
        </a:ln>
      </c:spPr>
    </c:title>
    <c:plotArea>
      <c:layout/>
      <c:scatterChart>
        <c:scatterStyle val="smoothMarker"/>
        <c:varyColors val="0"/>
        <c:ser>
          <c:idx val="0"/>
          <c:order val="0"/>
          <c:tx>
            <c:strRef>
              <c:f>'Treatment Scenario Costs'!$K$81</c:f>
              <c:strCache>
                <c:ptCount val="1"/>
                <c:pt idx="0">
                  <c:v>Microwave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'Treatment Scenario Costs'!$N$80:$Q$80</c:f>
              <c:numCache>
                <c:ptCount val="4"/>
                <c:pt idx="0">
                  <c:v>0</c:v>
                </c:pt>
                <c:pt idx="1">
                  <c:v>0</c:v>
                </c:pt>
                <c:pt idx="2">
                  <c:v>0</c:v>
                </c:pt>
                <c:pt idx="3">
                  <c:v>0</c:v>
                </c:pt>
              </c:numCache>
            </c:numRef>
          </c:xVal>
          <c:yVal>
            <c:numRef>
              <c:f>'Treatment Scenario Costs'!$N$81:$Q$81</c:f>
              <c:numCache>
                <c:ptCount val="4"/>
                <c:pt idx="0">
                  <c:v>0</c:v>
                </c:pt>
                <c:pt idx="1">
                  <c:v>0</c:v>
                </c:pt>
                <c:pt idx="2">
                  <c:v>0</c:v>
                </c:pt>
                <c:pt idx="3">
                  <c:v>0</c:v>
                </c:pt>
              </c:numCache>
            </c:numRef>
          </c:yVal>
          <c:smooth val="1"/>
        </c:ser>
        <c:ser>
          <c:idx val="1"/>
          <c:order val="1"/>
          <c:tx>
            <c:strRef>
              <c:f>'Treatment Scenario Costs'!$K$82</c:f>
              <c:strCache>
                <c:ptCount val="1"/>
                <c:pt idx="0">
                  <c:v>Autoclave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'Treatment Scenario Costs'!$N$80:$Q$80</c:f>
              <c:numCache>
                <c:ptCount val="4"/>
                <c:pt idx="0">
                  <c:v>0</c:v>
                </c:pt>
                <c:pt idx="1">
                  <c:v>0</c:v>
                </c:pt>
                <c:pt idx="2">
                  <c:v>0</c:v>
                </c:pt>
                <c:pt idx="3">
                  <c:v>0</c:v>
                </c:pt>
              </c:numCache>
            </c:numRef>
          </c:xVal>
          <c:yVal>
            <c:numRef>
              <c:f>'Treatment Scenario Costs'!$N$82:$Q$82</c:f>
              <c:numCache>
                <c:ptCount val="4"/>
                <c:pt idx="0">
                  <c:v>0</c:v>
                </c:pt>
                <c:pt idx="1">
                  <c:v>0</c:v>
                </c:pt>
                <c:pt idx="2">
                  <c:v>0</c:v>
                </c:pt>
                <c:pt idx="3">
                  <c:v>0</c:v>
                </c:pt>
              </c:numCache>
            </c:numRef>
          </c:yVal>
          <c:smooth val="1"/>
        </c:ser>
        <c:ser>
          <c:idx val="2"/>
          <c:order val="2"/>
          <c:tx>
            <c:strRef>
              <c:f>'Treatment Scenario Costs'!$K$83</c:f>
              <c:strCache>
                <c:ptCount val="1"/>
                <c:pt idx="0">
                  <c:v>Incineration</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99CC00"/>
                </a:solidFill>
              </a:ln>
            </c:spPr>
          </c:marker>
          <c:xVal>
            <c:numRef>
              <c:f>'Treatment Scenario Costs'!$N$80:$Q$80</c:f>
              <c:numCache>
                <c:ptCount val="4"/>
                <c:pt idx="0">
                  <c:v>0</c:v>
                </c:pt>
                <c:pt idx="1">
                  <c:v>0</c:v>
                </c:pt>
                <c:pt idx="2">
                  <c:v>0</c:v>
                </c:pt>
                <c:pt idx="3">
                  <c:v>0</c:v>
                </c:pt>
              </c:numCache>
            </c:numRef>
          </c:xVal>
          <c:yVal>
            <c:numRef>
              <c:f>'Treatment Scenario Costs'!$N$83:$Q$83</c:f>
              <c:numCache>
                <c:ptCount val="4"/>
                <c:pt idx="0">
                  <c:v>0</c:v>
                </c:pt>
                <c:pt idx="1">
                  <c:v>0</c:v>
                </c:pt>
                <c:pt idx="2">
                  <c:v>0</c:v>
                </c:pt>
                <c:pt idx="3">
                  <c:v>0</c:v>
                </c:pt>
              </c:numCache>
            </c:numRef>
          </c:yVal>
          <c:smooth val="1"/>
        </c:ser>
        <c:axId val="47613349"/>
        <c:axId val="25866958"/>
      </c:scatterChart>
      <c:valAx>
        <c:axId val="47613349"/>
        <c:scaling>
          <c:orientation val="minMax"/>
        </c:scaling>
        <c:axPos val="b"/>
        <c:title>
          <c:tx>
            <c:rich>
              <a:bodyPr vert="horz" rot="0" anchor="ctr"/>
              <a:lstStyle/>
              <a:p>
                <a:pPr algn="ctr">
                  <a:defRPr/>
                </a:pPr>
                <a:r>
                  <a:rPr lang="en-US" cap="none" sz="850" b="1" i="0" u="none" baseline="0">
                    <a:latin typeface="Arial"/>
                    <a:ea typeface="Arial"/>
                    <a:cs typeface="Arial"/>
                  </a:rPr>
                  <a:t>Capacity</a:t>
                </a:r>
              </a:p>
            </c:rich>
          </c:tx>
          <c:layout/>
          <c:overlay val="0"/>
          <c:spPr>
            <a:noFill/>
            <a:ln>
              <a:noFill/>
            </a:ln>
          </c:spPr>
        </c:title>
        <c:majorGridlines/>
        <c:delete val="0"/>
        <c:numFmt formatCode="General" sourceLinked="1"/>
        <c:majorTickMark val="out"/>
        <c:minorTickMark val="none"/>
        <c:tickLblPos val="nextTo"/>
        <c:crossAx val="25866958"/>
        <c:crosses val="autoZero"/>
        <c:crossBetween val="midCat"/>
        <c:dispUnits/>
      </c:valAx>
      <c:valAx>
        <c:axId val="25866958"/>
        <c:scaling>
          <c:orientation val="minMax"/>
        </c:scaling>
        <c:axPos val="l"/>
        <c:majorGridlines/>
        <c:delete val="0"/>
        <c:numFmt formatCode="General" sourceLinked="1"/>
        <c:majorTickMark val="out"/>
        <c:minorTickMark val="none"/>
        <c:tickLblPos val="nextTo"/>
        <c:crossAx val="47613349"/>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Price per kg treated</a:t>
            </a:r>
          </a:p>
        </c:rich>
      </c:tx>
      <c:layout/>
      <c:spPr>
        <a:noFill/>
        <a:ln>
          <a:noFill/>
        </a:ln>
      </c:spPr>
    </c:title>
    <c:plotArea>
      <c:layout/>
      <c:scatterChart>
        <c:scatterStyle val="smoothMarker"/>
        <c:varyColors val="0"/>
        <c:ser>
          <c:idx val="0"/>
          <c:order val="0"/>
          <c:tx>
            <c:strRef>
              <c:f>'Treatment Scenario Costs'!$A$84</c:f>
              <c:strCache>
                <c:ptCount val="1"/>
                <c:pt idx="0">
                  <c:v>Microwave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'Treatment Scenario Costs'!$D$80:$G$80</c:f>
              <c:numCache>
                <c:ptCount val="4"/>
                <c:pt idx="0">
                  <c:v>0</c:v>
                </c:pt>
                <c:pt idx="1">
                  <c:v>0</c:v>
                </c:pt>
                <c:pt idx="2">
                  <c:v>0</c:v>
                </c:pt>
                <c:pt idx="3">
                  <c:v>0</c:v>
                </c:pt>
              </c:numCache>
            </c:numRef>
          </c:xVal>
          <c:yVal>
            <c:numRef>
              <c:f>'Treatment Scenario Costs'!$D$84:$G$84</c:f>
              <c:numCache>
                <c:ptCount val="4"/>
                <c:pt idx="0">
                  <c:v>0</c:v>
                </c:pt>
                <c:pt idx="1">
                  <c:v>0</c:v>
                </c:pt>
                <c:pt idx="2">
                  <c:v>0</c:v>
                </c:pt>
                <c:pt idx="3">
                  <c:v>0</c:v>
                </c:pt>
              </c:numCache>
            </c:numRef>
          </c:yVal>
          <c:smooth val="1"/>
        </c:ser>
        <c:ser>
          <c:idx val="1"/>
          <c:order val="1"/>
          <c:tx>
            <c:strRef>
              <c:f>'Treatment Scenario Costs'!$A$85</c:f>
              <c:strCache>
                <c:ptCount val="1"/>
                <c:pt idx="0">
                  <c:v>Autoclave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'Treatment Scenario Costs'!$D$80:$G$80</c:f>
              <c:numCache>
                <c:ptCount val="4"/>
                <c:pt idx="0">
                  <c:v>0</c:v>
                </c:pt>
                <c:pt idx="1">
                  <c:v>0</c:v>
                </c:pt>
                <c:pt idx="2">
                  <c:v>0</c:v>
                </c:pt>
                <c:pt idx="3">
                  <c:v>0</c:v>
                </c:pt>
              </c:numCache>
            </c:numRef>
          </c:xVal>
          <c:yVal>
            <c:numRef>
              <c:f>'Treatment Scenario Costs'!$D$85:$G$85</c:f>
              <c:numCache>
                <c:ptCount val="4"/>
                <c:pt idx="0">
                  <c:v>0</c:v>
                </c:pt>
                <c:pt idx="1">
                  <c:v>0</c:v>
                </c:pt>
                <c:pt idx="2">
                  <c:v>0</c:v>
                </c:pt>
                <c:pt idx="3">
                  <c:v>0</c:v>
                </c:pt>
              </c:numCache>
            </c:numRef>
          </c:yVal>
          <c:smooth val="1"/>
        </c:ser>
        <c:ser>
          <c:idx val="2"/>
          <c:order val="2"/>
          <c:tx>
            <c:strRef>
              <c:f>'Treatment Scenario Costs'!$A$86</c:f>
              <c:strCache>
                <c:ptCount val="1"/>
                <c:pt idx="0">
                  <c:v>Incineration</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99CC00"/>
                </a:solidFill>
              </a:ln>
            </c:spPr>
          </c:marker>
          <c:xVal>
            <c:numRef>
              <c:f>'Treatment Scenario Costs'!$D$80:$G$80</c:f>
              <c:numCache>
                <c:ptCount val="4"/>
                <c:pt idx="0">
                  <c:v>0</c:v>
                </c:pt>
                <c:pt idx="1">
                  <c:v>0</c:v>
                </c:pt>
                <c:pt idx="2">
                  <c:v>0</c:v>
                </c:pt>
                <c:pt idx="3">
                  <c:v>0</c:v>
                </c:pt>
              </c:numCache>
            </c:numRef>
          </c:xVal>
          <c:yVal>
            <c:numRef>
              <c:f>'Treatment Scenario Costs'!$D$86:$G$86</c:f>
              <c:numCache>
                <c:ptCount val="4"/>
                <c:pt idx="0">
                  <c:v>0</c:v>
                </c:pt>
                <c:pt idx="1">
                  <c:v>0</c:v>
                </c:pt>
                <c:pt idx="2">
                  <c:v>0</c:v>
                </c:pt>
                <c:pt idx="3">
                  <c:v>0</c:v>
                </c:pt>
              </c:numCache>
            </c:numRef>
          </c:yVal>
          <c:smooth val="1"/>
        </c:ser>
        <c:axId val="31476031"/>
        <c:axId val="14848824"/>
      </c:scatterChart>
      <c:valAx>
        <c:axId val="31476031"/>
        <c:scaling>
          <c:orientation val="minMax"/>
        </c:scaling>
        <c:axPos val="b"/>
        <c:title>
          <c:tx>
            <c:rich>
              <a:bodyPr vert="horz" rot="0" anchor="ctr"/>
              <a:lstStyle/>
              <a:p>
                <a:pPr algn="ctr">
                  <a:defRPr/>
                </a:pPr>
                <a:r>
                  <a:rPr lang="en-US" cap="none" sz="875" b="1" i="0" u="none" baseline="0">
                    <a:latin typeface="Arial"/>
                    <a:ea typeface="Arial"/>
                    <a:cs typeface="Arial"/>
                  </a:rPr>
                  <a:t>Throughput kg/hr</a:t>
                </a:r>
              </a:p>
            </c:rich>
          </c:tx>
          <c:layout/>
          <c:overlay val="0"/>
          <c:spPr>
            <a:noFill/>
            <a:ln>
              <a:noFill/>
            </a:ln>
          </c:spPr>
        </c:title>
        <c:majorGridlines/>
        <c:minorGridlines/>
        <c:delete val="0"/>
        <c:numFmt formatCode="General" sourceLinked="1"/>
        <c:majorTickMark val="out"/>
        <c:minorTickMark val="none"/>
        <c:tickLblPos val="nextTo"/>
        <c:crossAx val="14848824"/>
        <c:crosses val="autoZero"/>
        <c:crossBetween val="midCat"/>
        <c:dispUnits/>
      </c:valAx>
      <c:valAx>
        <c:axId val="14848824"/>
        <c:scaling>
          <c:orientation val="minMax"/>
        </c:scaling>
        <c:axPos val="l"/>
        <c:title>
          <c:tx>
            <c:rich>
              <a:bodyPr vert="horz" rot="-5400000" anchor="ctr"/>
              <a:lstStyle/>
              <a:p>
                <a:pPr algn="ctr">
                  <a:defRPr/>
                </a:pPr>
                <a:r>
                  <a:rPr lang="en-US" cap="none" sz="875" b="1" i="0" u="none" baseline="0">
                    <a:latin typeface="Arial"/>
                    <a:ea typeface="Arial"/>
                    <a:cs typeface="Arial"/>
                  </a:rPr>
                  <a:t>Price  R / kg</a:t>
                </a:r>
              </a:p>
            </c:rich>
          </c:tx>
          <c:layout/>
          <c:overlay val="0"/>
          <c:spPr>
            <a:noFill/>
            <a:ln>
              <a:noFill/>
            </a:ln>
          </c:spPr>
        </c:title>
        <c:majorGridlines/>
        <c:delete val="0"/>
        <c:numFmt formatCode="General" sourceLinked="1"/>
        <c:majorTickMark val="out"/>
        <c:minorTickMark val="none"/>
        <c:tickLblPos val="nextTo"/>
        <c:crossAx val="31476031"/>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latin typeface="Arial"/>
                <a:ea typeface="Arial"/>
                <a:cs typeface="Arial"/>
              </a:rPr>
              <a:t>Estimated Capital Cost</a:t>
            </a:r>
          </a:p>
        </c:rich>
      </c:tx>
      <c:layout>
        <c:manualLayout>
          <c:xMode val="factor"/>
          <c:yMode val="factor"/>
          <c:x val="0"/>
          <c:y val="0"/>
        </c:manualLayout>
      </c:layout>
      <c:spPr>
        <a:noFill/>
        <a:ln>
          <a:noFill/>
        </a:ln>
      </c:spPr>
    </c:title>
    <c:plotArea>
      <c:layout>
        <c:manualLayout>
          <c:xMode val="edge"/>
          <c:yMode val="edge"/>
          <c:x val="0.069"/>
          <c:y val="0.16"/>
          <c:w val="0.786"/>
          <c:h val="0.683"/>
        </c:manualLayout>
      </c:layout>
      <c:scatterChart>
        <c:scatterStyle val="smoothMarker"/>
        <c:varyColors val="0"/>
        <c:ser>
          <c:idx val="0"/>
          <c:order val="0"/>
          <c:tx>
            <c:strRef>
              <c:f>'HCRW Treatment Cost Models'!$W$48</c:f>
              <c:strCache>
                <c:ptCount val="1"/>
                <c:pt idx="0">
                  <c:v>Microwave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trendline>
            <c:spPr>
              <a:ln w="38100">
                <a:solidFill>
                  <a:srgbClr val="0000FF"/>
                </a:solidFill>
              </a:ln>
            </c:spPr>
            <c:trendlineType val="linear"/>
            <c:dispEq val="1"/>
            <c:dispRSqr val="1"/>
            <c:trendlineLbl>
              <c:layout>
                <c:manualLayout>
                  <c:x val="0"/>
                  <c:y val="0"/>
                </c:manualLayout>
              </c:layout>
              <c:txPr>
                <a:bodyPr vert="horz" rot="0" anchor="ctr"/>
                <a:lstStyle/>
                <a:p>
                  <a:pPr algn="ctr">
                    <a:defRPr lang="en-US" cap="none" sz="1050" b="1" i="0" u="none" baseline="0">
                      <a:latin typeface="Arial"/>
                      <a:ea typeface="Arial"/>
                      <a:cs typeface="Arial"/>
                    </a:defRPr>
                  </a:pPr>
                </a:p>
              </c:txPr>
              <c:numFmt formatCode="0.00000"/>
            </c:trendlineLbl>
          </c:trendline>
          <c:xVal>
            <c:numRef>
              <c:f>'HCRW Treatment Cost Models'!$X$47:$AH$47</c:f>
              <c:numCache>
                <c:ptCount val="11"/>
                <c:pt idx="0">
                  <c:v>0</c:v>
                </c:pt>
                <c:pt idx="1">
                  <c:v>0</c:v>
                </c:pt>
                <c:pt idx="2">
                  <c:v>0</c:v>
                </c:pt>
                <c:pt idx="3">
                  <c:v>0</c:v>
                </c:pt>
                <c:pt idx="4">
                  <c:v>0</c:v>
                </c:pt>
                <c:pt idx="5">
                  <c:v>0</c:v>
                </c:pt>
                <c:pt idx="6">
                  <c:v>0</c:v>
                </c:pt>
                <c:pt idx="7">
                  <c:v>0</c:v>
                </c:pt>
                <c:pt idx="8">
                  <c:v>0</c:v>
                </c:pt>
                <c:pt idx="9">
                  <c:v>0</c:v>
                </c:pt>
                <c:pt idx="10">
                  <c:v>0</c:v>
                </c:pt>
              </c:numCache>
            </c:numRef>
          </c:xVal>
          <c:yVal>
            <c:numRef>
              <c:f>'HCRW Treatment Cost Models'!$X$48:$AH$48</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tx>
            <c:strRef>
              <c:f>'HCRW Treatment Cost Models'!$W$49</c:f>
              <c:strCache>
                <c:ptCount val="1"/>
                <c:pt idx="0">
                  <c:v>Autoclave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trendline>
            <c:spPr>
              <a:ln w="38100">
                <a:solidFill>
                  <a:srgbClr val="FF00FF"/>
                </a:solidFill>
              </a:ln>
            </c:spPr>
            <c:trendlineType val="power"/>
            <c:dispEq val="1"/>
            <c:dispRSqr val="1"/>
            <c:trendlineLbl>
              <c:layout>
                <c:manualLayout>
                  <c:x val="0"/>
                  <c:y val="0"/>
                </c:manualLayout>
              </c:layout>
              <c:txPr>
                <a:bodyPr vert="horz" rot="0" anchor="ctr"/>
                <a:lstStyle/>
                <a:p>
                  <a:pPr algn="ctr">
                    <a:defRPr lang="en-US" cap="none" sz="1050" b="1" i="0" u="none" baseline="0">
                      <a:latin typeface="Arial"/>
                      <a:ea typeface="Arial"/>
                      <a:cs typeface="Arial"/>
                    </a:defRPr>
                  </a:pPr>
                </a:p>
              </c:txPr>
              <c:numFmt formatCode="0.00000"/>
            </c:trendlineLbl>
          </c:trendline>
          <c:xVal>
            <c:numRef>
              <c:f>'HCRW Treatment Cost Models'!$X$47:$AH$47</c:f>
              <c:numCache>
                <c:ptCount val="11"/>
                <c:pt idx="0">
                  <c:v>0</c:v>
                </c:pt>
                <c:pt idx="1">
                  <c:v>0</c:v>
                </c:pt>
                <c:pt idx="2">
                  <c:v>0</c:v>
                </c:pt>
                <c:pt idx="3">
                  <c:v>0</c:v>
                </c:pt>
                <c:pt idx="4">
                  <c:v>0</c:v>
                </c:pt>
                <c:pt idx="5">
                  <c:v>0</c:v>
                </c:pt>
                <c:pt idx="6">
                  <c:v>0</c:v>
                </c:pt>
                <c:pt idx="7">
                  <c:v>0</c:v>
                </c:pt>
                <c:pt idx="8">
                  <c:v>0</c:v>
                </c:pt>
                <c:pt idx="9">
                  <c:v>0</c:v>
                </c:pt>
                <c:pt idx="10">
                  <c:v>0</c:v>
                </c:pt>
              </c:numCache>
            </c:numRef>
          </c:xVal>
          <c:yVal>
            <c:numRef>
              <c:f>'HCRW Treatment Cost Models'!$X$49:$AH$49</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2"/>
          <c:order val="2"/>
          <c:tx>
            <c:strRef>
              <c:f>'HCRW Treatment Cost Models'!$W$50</c:f>
              <c:strCache>
                <c:ptCount val="1"/>
                <c:pt idx="0">
                  <c:v>Incineration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99CC00"/>
                </a:solidFill>
              </a:ln>
            </c:spPr>
          </c:marker>
          <c:trendline>
            <c:spPr>
              <a:ln w="38100">
                <a:solidFill>
                  <a:srgbClr val="99CC00"/>
                </a:solidFill>
              </a:ln>
            </c:spPr>
            <c:trendlineType val="power"/>
            <c:dispEq val="1"/>
            <c:dispRSqr val="1"/>
            <c:trendlineLbl>
              <c:layout>
                <c:manualLayout>
                  <c:x val="0"/>
                  <c:y val="0"/>
                </c:manualLayout>
              </c:layout>
              <c:txPr>
                <a:bodyPr vert="horz" rot="0" anchor="ctr"/>
                <a:lstStyle/>
                <a:p>
                  <a:pPr algn="ctr">
                    <a:defRPr lang="en-US" cap="none" sz="1050" b="1" i="0" u="none" baseline="0">
                      <a:latin typeface="Arial"/>
                      <a:ea typeface="Arial"/>
                      <a:cs typeface="Arial"/>
                    </a:defRPr>
                  </a:pPr>
                </a:p>
              </c:txPr>
              <c:numFmt formatCode="0.00000"/>
            </c:trendlineLbl>
          </c:trendline>
          <c:xVal>
            <c:numRef>
              <c:f>'HCRW Treatment Cost Models'!$X$47:$AH$47</c:f>
              <c:numCache>
                <c:ptCount val="11"/>
                <c:pt idx="0">
                  <c:v>0</c:v>
                </c:pt>
                <c:pt idx="1">
                  <c:v>0</c:v>
                </c:pt>
                <c:pt idx="2">
                  <c:v>0</c:v>
                </c:pt>
                <c:pt idx="3">
                  <c:v>0</c:v>
                </c:pt>
                <c:pt idx="4">
                  <c:v>0</c:v>
                </c:pt>
                <c:pt idx="5">
                  <c:v>0</c:v>
                </c:pt>
                <c:pt idx="6">
                  <c:v>0</c:v>
                </c:pt>
                <c:pt idx="7">
                  <c:v>0</c:v>
                </c:pt>
                <c:pt idx="8">
                  <c:v>0</c:v>
                </c:pt>
                <c:pt idx="9">
                  <c:v>0</c:v>
                </c:pt>
                <c:pt idx="10">
                  <c:v>0</c:v>
                </c:pt>
              </c:numCache>
            </c:numRef>
          </c:xVal>
          <c:yVal>
            <c:numRef>
              <c:f>'HCRW Treatment Cost Models'!$X$50:$AH$50</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66530553"/>
        <c:axId val="61904066"/>
      </c:scatterChart>
      <c:valAx>
        <c:axId val="66530553"/>
        <c:scaling>
          <c:orientation val="minMax"/>
          <c:max val="30000"/>
        </c:scaling>
        <c:axPos val="b"/>
        <c:title>
          <c:tx>
            <c:rich>
              <a:bodyPr vert="horz" rot="0" anchor="ctr"/>
              <a:lstStyle/>
              <a:p>
                <a:pPr algn="ctr">
                  <a:defRPr/>
                </a:pPr>
                <a:r>
                  <a:rPr lang="en-US" cap="none" sz="1200" b="1" i="0" u="none" baseline="0">
                    <a:latin typeface="Arial"/>
                    <a:ea typeface="Arial"/>
                    <a:cs typeface="Arial"/>
                  </a:rPr>
                  <a:t>Capacity: tons/yr</a:t>
                </a:r>
              </a:p>
            </c:rich>
          </c:tx>
          <c:layout/>
          <c:overlay val="0"/>
          <c:spPr>
            <a:noFill/>
            <a:ln>
              <a:noFill/>
            </a:ln>
          </c:spPr>
        </c:title>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61904066"/>
        <c:crosses val="autoZero"/>
        <c:crossBetween val="midCat"/>
        <c:dispUnits/>
      </c:valAx>
      <c:valAx>
        <c:axId val="61904066"/>
        <c:scaling>
          <c:orientation val="minMax"/>
        </c:scaling>
        <c:axPos val="l"/>
        <c:title>
          <c:tx>
            <c:rich>
              <a:bodyPr vert="horz" rot="-5400000" anchor="ctr"/>
              <a:lstStyle/>
              <a:p>
                <a:pPr algn="ctr">
                  <a:defRPr/>
                </a:pPr>
                <a:r>
                  <a:rPr lang="en-US" cap="none" sz="1200" b="1" i="0" u="none" baseline="0">
                    <a:latin typeface="Arial"/>
                    <a:ea typeface="Arial"/>
                    <a:cs typeface="Arial"/>
                  </a:rPr>
                  <a:t>Rand (millions)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200" b="1" i="0" u="none" baseline="0">
                <a:latin typeface="Arial"/>
                <a:ea typeface="Arial"/>
                <a:cs typeface="Arial"/>
              </a:defRPr>
            </a:pPr>
          </a:p>
        </c:txPr>
        <c:crossAx val="66530553"/>
        <c:crosses val="autoZero"/>
        <c:crossBetween val="midCat"/>
        <c:dispUnits/>
      </c:valAx>
      <c:spPr>
        <a:solidFill>
          <a:srgbClr val="FFFFFF"/>
        </a:solidFill>
        <a:ln w="12700">
          <a:solidFill/>
        </a:ln>
      </c:spPr>
    </c:plotArea>
    <c:legend>
      <c:legendPos val="b"/>
      <c:layout>
        <c:manualLayout>
          <c:xMode val="edge"/>
          <c:yMode val="edge"/>
          <c:x val="0.0535"/>
          <c:y val="0.87475"/>
        </c:manualLayout>
      </c:layout>
      <c:overlay val="0"/>
    </c:legend>
    <c:plotVisOnly val="1"/>
    <c:dispBlanksAs val="gap"/>
    <c:showDLblsOverMax val="0"/>
  </c:chart>
  <c:spPr>
    <a:blipFill>
      <a:blip r:embed="rId1"/>
      <a:srcRect/>
      <a:tile sx="100000" sy="100000" flip="none" algn="tl"/>
    </a:blipFill>
  </c:spPr>
  <c:txPr>
    <a:bodyPr vert="horz" rot="0"/>
    <a:lstStyle/>
    <a:p>
      <a:pPr>
        <a:defRPr lang="en-US" cap="none" sz="17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Estimated Annual Running Cost</a:t>
            </a:r>
          </a:p>
        </c:rich>
      </c:tx>
      <c:layout/>
      <c:spPr>
        <a:noFill/>
        <a:ln>
          <a:noFill/>
        </a:ln>
      </c:spPr>
    </c:title>
    <c:plotArea>
      <c:layout/>
      <c:scatterChart>
        <c:scatterStyle val="lineMarker"/>
        <c:varyColors val="0"/>
        <c:ser>
          <c:idx val="0"/>
          <c:order val="0"/>
          <c:tx>
            <c:strRef>
              <c:f>'HCRW Treatment Cost Models'!$W$14</c:f>
              <c:strCache>
                <c:ptCount val="1"/>
                <c:pt idx="0">
                  <c:v>Microwave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38100">
                <a:solidFill>
                  <a:srgbClr val="0000FF"/>
                </a:solidFill>
              </a:ln>
            </c:spPr>
            <c:trendlineType val="linear"/>
            <c:dispEq val="1"/>
            <c:dispRSqr val="1"/>
            <c:trendlineLbl>
              <c:layout>
                <c:manualLayout>
                  <c:x val="0"/>
                  <c:y val="0"/>
                </c:manualLayout>
              </c:layout>
              <c:txPr>
                <a:bodyPr vert="horz" rot="0" anchor="ctr"/>
                <a:lstStyle/>
                <a:p>
                  <a:pPr algn="ctr">
                    <a:defRPr lang="en-US" cap="none" sz="850" b="1" i="0" u="none" baseline="0">
                      <a:latin typeface="Arial"/>
                      <a:ea typeface="Arial"/>
                      <a:cs typeface="Arial"/>
                    </a:defRPr>
                  </a:pPr>
                </a:p>
              </c:txPr>
              <c:numFmt formatCode="0.00000"/>
            </c:trendlineLbl>
          </c:trendline>
          <c:xVal>
            <c:numRef>
              <c:f>'HCRW Treatment Cost Models'!$X$13:$AF$13</c:f>
              <c:numCache>
                <c:ptCount val="9"/>
                <c:pt idx="0">
                  <c:v>0</c:v>
                </c:pt>
                <c:pt idx="1">
                  <c:v>0</c:v>
                </c:pt>
                <c:pt idx="2">
                  <c:v>0</c:v>
                </c:pt>
                <c:pt idx="3">
                  <c:v>0</c:v>
                </c:pt>
                <c:pt idx="4">
                  <c:v>0</c:v>
                </c:pt>
                <c:pt idx="5">
                  <c:v>0</c:v>
                </c:pt>
                <c:pt idx="6">
                  <c:v>0</c:v>
                </c:pt>
                <c:pt idx="7">
                  <c:v>0</c:v>
                </c:pt>
                <c:pt idx="8">
                  <c:v>0</c:v>
                </c:pt>
              </c:numCache>
            </c:numRef>
          </c:xVal>
          <c:yVal>
            <c:numRef>
              <c:f>'HCRW Treatment Cost Models'!$X$14:$AF$14</c:f>
              <c:numCache>
                <c:ptCount val="9"/>
                <c:pt idx="0">
                  <c:v>0</c:v>
                </c:pt>
                <c:pt idx="1">
                  <c:v>0</c:v>
                </c:pt>
                <c:pt idx="2">
                  <c:v>0</c:v>
                </c:pt>
                <c:pt idx="3">
                  <c:v>0</c:v>
                </c:pt>
                <c:pt idx="4">
                  <c:v>0</c:v>
                </c:pt>
                <c:pt idx="5">
                  <c:v>0</c:v>
                </c:pt>
                <c:pt idx="6">
                  <c:v>0</c:v>
                </c:pt>
                <c:pt idx="7">
                  <c:v>0</c:v>
                </c:pt>
                <c:pt idx="8">
                  <c:v>0</c:v>
                </c:pt>
              </c:numCache>
            </c:numRef>
          </c:yVal>
          <c:smooth val="0"/>
        </c:ser>
        <c:ser>
          <c:idx val="1"/>
          <c:order val="1"/>
          <c:tx>
            <c:strRef>
              <c:f>'HCRW Treatment Cost Models'!$W$15</c:f>
              <c:strCache>
                <c:ptCount val="1"/>
                <c:pt idx="0">
                  <c:v>Autoclave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spPr>
              <a:ln w="38100">
                <a:solidFill>
                  <a:srgbClr val="FF00FF"/>
                </a:solidFill>
              </a:ln>
            </c:spPr>
            <c:trendlineType val="linear"/>
            <c:dispEq val="1"/>
            <c:dispRSqr val="1"/>
            <c:trendlineLbl>
              <c:layout>
                <c:manualLayout>
                  <c:x val="0"/>
                  <c:y val="0"/>
                </c:manualLayout>
              </c:layout>
              <c:txPr>
                <a:bodyPr vert="horz" rot="0" anchor="ctr"/>
                <a:lstStyle/>
                <a:p>
                  <a:pPr algn="ctr">
                    <a:defRPr lang="en-US" cap="none" sz="850" b="1" i="0" u="none" baseline="0">
                      <a:latin typeface="Arial"/>
                      <a:ea typeface="Arial"/>
                      <a:cs typeface="Arial"/>
                    </a:defRPr>
                  </a:pPr>
                </a:p>
              </c:txPr>
              <c:numFmt formatCode="0.00000"/>
            </c:trendlineLbl>
          </c:trendline>
          <c:xVal>
            <c:numRef>
              <c:f>'HCRW Treatment Cost Models'!$X$13:$AF$13</c:f>
              <c:numCache>
                <c:ptCount val="9"/>
                <c:pt idx="0">
                  <c:v>0</c:v>
                </c:pt>
                <c:pt idx="1">
                  <c:v>0</c:v>
                </c:pt>
                <c:pt idx="2">
                  <c:v>0</c:v>
                </c:pt>
                <c:pt idx="3">
                  <c:v>0</c:v>
                </c:pt>
                <c:pt idx="4">
                  <c:v>0</c:v>
                </c:pt>
                <c:pt idx="5">
                  <c:v>0</c:v>
                </c:pt>
                <c:pt idx="6">
                  <c:v>0</c:v>
                </c:pt>
                <c:pt idx="7">
                  <c:v>0</c:v>
                </c:pt>
                <c:pt idx="8">
                  <c:v>0</c:v>
                </c:pt>
              </c:numCache>
            </c:numRef>
          </c:xVal>
          <c:yVal>
            <c:numRef>
              <c:f>'HCRW Treatment Cost Models'!$X$15:$AF$15</c:f>
              <c:numCache>
                <c:ptCount val="9"/>
                <c:pt idx="0">
                  <c:v>0</c:v>
                </c:pt>
                <c:pt idx="1">
                  <c:v>0</c:v>
                </c:pt>
                <c:pt idx="2">
                  <c:v>0</c:v>
                </c:pt>
                <c:pt idx="3">
                  <c:v>0</c:v>
                </c:pt>
                <c:pt idx="4">
                  <c:v>0</c:v>
                </c:pt>
                <c:pt idx="5">
                  <c:v>0</c:v>
                </c:pt>
                <c:pt idx="6">
                  <c:v>0</c:v>
                </c:pt>
                <c:pt idx="7">
                  <c:v>0</c:v>
                </c:pt>
                <c:pt idx="8">
                  <c:v>0</c:v>
                </c:pt>
              </c:numCache>
            </c:numRef>
          </c:yVal>
          <c:smooth val="0"/>
        </c:ser>
        <c:ser>
          <c:idx val="2"/>
          <c:order val="2"/>
          <c:tx>
            <c:strRef>
              <c:f>'HCRW Treatment Cost Models'!$W$16</c:f>
              <c:strCache>
                <c:ptCount val="1"/>
                <c:pt idx="0">
                  <c:v>Incineration</c:v>
                </c:pt>
              </c:strCache>
            </c:strRef>
          </c:tx>
          <c:spPr>
            <a:ln w="3175">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99CC00"/>
              </a:solidFill>
              <a:ln>
                <a:solidFill>
                  <a:srgbClr val="99CC00"/>
                </a:solidFill>
              </a:ln>
            </c:spPr>
          </c:marker>
          <c:trendline>
            <c:spPr>
              <a:ln w="38100">
                <a:solidFill>
                  <a:srgbClr val="99CC00"/>
                </a:solidFill>
              </a:ln>
            </c:spPr>
            <c:trendlineType val="linear"/>
            <c:dispEq val="1"/>
            <c:dispRSqr val="1"/>
            <c:trendlineLbl>
              <c:layout>
                <c:manualLayout>
                  <c:x val="0"/>
                  <c:y val="0"/>
                </c:manualLayout>
              </c:layout>
              <c:txPr>
                <a:bodyPr vert="horz" rot="0" anchor="ctr"/>
                <a:lstStyle/>
                <a:p>
                  <a:pPr algn="ctr">
                    <a:defRPr lang="en-US" cap="none" sz="850" b="1" i="0" u="none" baseline="0">
                      <a:latin typeface="Arial"/>
                      <a:ea typeface="Arial"/>
                      <a:cs typeface="Arial"/>
                    </a:defRPr>
                  </a:pPr>
                </a:p>
              </c:txPr>
              <c:numFmt formatCode="0.00000"/>
            </c:trendlineLbl>
          </c:trendline>
          <c:xVal>
            <c:numRef>
              <c:f>'HCRW Treatment Cost Models'!$X$13:$AF$13</c:f>
              <c:numCache>
                <c:ptCount val="9"/>
                <c:pt idx="0">
                  <c:v>0</c:v>
                </c:pt>
                <c:pt idx="1">
                  <c:v>0</c:v>
                </c:pt>
                <c:pt idx="2">
                  <c:v>0</c:v>
                </c:pt>
                <c:pt idx="3">
                  <c:v>0</c:v>
                </c:pt>
                <c:pt idx="4">
                  <c:v>0</c:v>
                </c:pt>
                <c:pt idx="5">
                  <c:v>0</c:v>
                </c:pt>
                <c:pt idx="6">
                  <c:v>0</c:v>
                </c:pt>
                <c:pt idx="7">
                  <c:v>0</c:v>
                </c:pt>
                <c:pt idx="8">
                  <c:v>0</c:v>
                </c:pt>
              </c:numCache>
            </c:numRef>
          </c:xVal>
          <c:yVal>
            <c:numRef>
              <c:f>'HCRW Treatment Cost Models'!$X$16:$AF$16</c:f>
              <c:numCache>
                <c:ptCount val="9"/>
                <c:pt idx="0">
                  <c:v>0</c:v>
                </c:pt>
                <c:pt idx="1">
                  <c:v>0</c:v>
                </c:pt>
                <c:pt idx="2">
                  <c:v>0</c:v>
                </c:pt>
                <c:pt idx="3">
                  <c:v>0</c:v>
                </c:pt>
                <c:pt idx="4">
                  <c:v>0</c:v>
                </c:pt>
                <c:pt idx="5">
                  <c:v>0</c:v>
                </c:pt>
                <c:pt idx="6">
                  <c:v>0</c:v>
                </c:pt>
                <c:pt idx="7">
                  <c:v>0</c:v>
                </c:pt>
                <c:pt idx="8">
                  <c:v>0</c:v>
                </c:pt>
              </c:numCache>
            </c:numRef>
          </c:yVal>
          <c:smooth val="0"/>
        </c:ser>
        <c:axId val="20265683"/>
        <c:axId val="48173420"/>
      </c:scatterChart>
      <c:valAx>
        <c:axId val="20265683"/>
        <c:scaling>
          <c:orientation val="minMax"/>
        </c:scaling>
        <c:axPos val="b"/>
        <c:title>
          <c:tx>
            <c:rich>
              <a:bodyPr vert="horz" rot="0" anchor="ctr"/>
              <a:lstStyle/>
              <a:p>
                <a:pPr algn="ctr">
                  <a:defRPr/>
                </a:pPr>
                <a:r>
                  <a:rPr lang="en-US" cap="none" sz="1200" b="1" i="0" u="none" baseline="0">
                    <a:latin typeface="Arial"/>
                    <a:ea typeface="Arial"/>
                    <a:cs typeface="Arial"/>
                  </a:rPr>
                  <a:t>Throughput: tons/year</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1050" b="1" i="0" u="none" baseline="0">
                <a:latin typeface="Arial"/>
                <a:ea typeface="Arial"/>
                <a:cs typeface="Arial"/>
              </a:defRPr>
            </a:pPr>
          </a:p>
        </c:txPr>
        <c:crossAx val="48173420"/>
        <c:crosses val="autoZero"/>
        <c:crossBetween val="midCat"/>
        <c:dispUnits/>
        <c:minorUnit val="1000"/>
      </c:valAx>
      <c:valAx>
        <c:axId val="48173420"/>
        <c:scaling>
          <c:orientation val="minMax"/>
        </c:scaling>
        <c:axPos val="l"/>
        <c:title>
          <c:tx>
            <c:rich>
              <a:bodyPr vert="horz" rot="-5400000" anchor="ctr"/>
              <a:lstStyle/>
              <a:p>
                <a:pPr algn="ctr">
                  <a:defRPr/>
                </a:pPr>
                <a:r>
                  <a:rPr lang="en-US" cap="none" sz="1975" b="1" i="0" u="none" baseline="0">
                    <a:latin typeface="Arial"/>
                    <a:ea typeface="Arial"/>
                    <a:cs typeface="Arial"/>
                  </a:rPr>
                  <a:t>Rands (millions)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20265683"/>
        <c:crosses val="autoZero"/>
        <c:crossBetween val="midCat"/>
        <c:dispUnits/>
        <c:majorUnit val="1"/>
        <c:minorUnit val="1"/>
      </c:valAx>
      <c:spPr>
        <a:solidFill>
          <a:srgbClr val="FFFFFF"/>
        </a:solidFill>
        <a:ln w="12700">
          <a:solidFill>
            <a:srgbClr val="808080"/>
          </a:solidFill>
        </a:ln>
      </c:spPr>
    </c:plotArea>
    <c:plotVisOnly val="1"/>
    <c:dispBlanksAs val="gap"/>
    <c:showDLblsOverMax val="0"/>
  </c:chart>
  <c:spPr>
    <a:blipFill>
      <a:blip r:embed="rId2"/>
      <a:srcRect/>
      <a:tile sx="100000" sy="100000" flip="none" algn="tl"/>
    </a:blipFill>
  </c:spPr>
  <c:txPr>
    <a:bodyPr vert="horz" rot="0"/>
    <a:lstStyle/>
    <a:p>
      <a:pPr>
        <a:defRPr lang="en-US" cap="none" sz="2250"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Capital cost per ton of capacity</a:t>
            </a:r>
          </a:p>
        </c:rich>
      </c:tx>
      <c:layout/>
      <c:spPr>
        <a:noFill/>
        <a:ln>
          <a:noFill/>
        </a:ln>
      </c:spPr>
    </c:title>
    <c:plotArea>
      <c:layout>
        <c:manualLayout>
          <c:xMode val="edge"/>
          <c:yMode val="edge"/>
          <c:x val="0.06475"/>
          <c:y val="0.16425"/>
          <c:w val="0.9235"/>
          <c:h val="0.67975"/>
        </c:manualLayout>
      </c:layout>
      <c:scatterChart>
        <c:scatterStyle val="smoothMarker"/>
        <c:varyColors val="0"/>
        <c:ser>
          <c:idx val="0"/>
          <c:order val="0"/>
          <c:tx>
            <c:strRef>
              <c:f>'HCRW Treatment Cost Models'!$W$84</c:f>
              <c:strCache>
                <c:ptCount val="1"/>
                <c:pt idx="0">
                  <c:v>Microwave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trendline>
            <c:spPr>
              <a:ln w="25400">
                <a:solidFill>
                  <a:srgbClr val="0000FF"/>
                </a:solidFill>
              </a:ln>
            </c:spPr>
            <c:trendlineType val="power"/>
            <c:dispEq val="1"/>
            <c:dispRSqr val="1"/>
            <c:trendlineLbl>
              <c:layout>
                <c:manualLayout>
                  <c:x val="0"/>
                  <c:y val="0"/>
                </c:manualLayout>
              </c:layout>
              <c:txPr>
                <a:bodyPr vert="horz" rot="0" anchor="ctr"/>
                <a:lstStyle/>
                <a:p>
                  <a:pPr algn="ctr">
                    <a:defRPr lang="en-US" cap="none" sz="1075" b="1" i="0" u="none" baseline="0">
                      <a:latin typeface="Arial"/>
                      <a:ea typeface="Arial"/>
                      <a:cs typeface="Arial"/>
                    </a:defRPr>
                  </a:pPr>
                </a:p>
              </c:txPr>
              <c:numFmt formatCode="General"/>
            </c:trendlineLbl>
          </c:trendline>
          <c:xVal>
            <c:numRef>
              <c:f>'HCRW Treatment Cost Models'!$X$83:$AH$83</c:f>
              <c:numCache>
                <c:ptCount val="11"/>
                <c:pt idx="0">
                  <c:v>0</c:v>
                </c:pt>
                <c:pt idx="1">
                  <c:v>0</c:v>
                </c:pt>
                <c:pt idx="2">
                  <c:v>0</c:v>
                </c:pt>
                <c:pt idx="3">
                  <c:v>0</c:v>
                </c:pt>
                <c:pt idx="4">
                  <c:v>0</c:v>
                </c:pt>
                <c:pt idx="5">
                  <c:v>0</c:v>
                </c:pt>
                <c:pt idx="6">
                  <c:v>0</c:v>
                </c:pt>
                <c:pt idx="7">
                  <c:v>0</c:v>
                </c:pt>
                <c:pt idx="8">
                  <c:v>0</c:v>
                </c:pt>
                <c:pt idx="9">
                  <c:v>0</c:v>
                </c:pt>
                <c:pt idx="10">
                  <c:v>0</c:v>
                </c:pt>
              </c:numCache>
            </c:numRef>
          </c:xVal>
          <c:yVal>
            <c:numRef>
              <c:f>'HCRW Treatment Cost Models'!$X$84:$AH$84</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tx>
            <c:strRef>
              <c:f>'HCRW Treatment Cost Models'!$W$85</c:f>
              <c:strCache>
                <c:ptCount val="1"/>
                <c:pt idx="0">
                  <c:v>Autoclave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trendline>
            <c:spPr>
              <a:ln w="25400">
                <a:solidFill>
                  <a:srgbClr val="FF00FF"/>
                </a:solidFill>
              </a:ln>
            </c:spPr>
            <c:trendlineType val="power"/>
            <c:dispEq val="1"/>
            <c:dispRSqr val="1"/>
            <c:trendlineLbl>
              <c:layout>
                <c:manualLayout>
                  <c:x val="0"/>
                  <c:y val="0"/>
                </c:manualLayout>
              </c:layout>
              <c:txPr>
                <a:bodyPr vert="horz" rot="0" anchor="ctr"/>
                <a:lstStyle/>
                <a:p>
                  <a:pPr algn="ctr">
                    <a:defRPr lang="en-US" cap="none" sz="1075" b="1" i="0" u="none" baseline="0">
                      <a:latin typeface="Arial"/>
                      <a:ea typeface="Arial"/>
                      <a:cs typeface="Arial"/>
                    </a:defRPr>
                  </a:pPr>
                </a:p>
              </c:txPr>
              <c:numFmt formatCode="General"/>
            </c:trendlineLbl>
          </c:trendline>
          <c:xVal>
            <c:numRef>
              <c:f>'HCRW Treatment Cost Models'!$X$83:$AH$83</c:f>
              <c:numCache>
                <c:ptCount val="11"/>
                <c:pt idx="0">
                  <c:v>0</c:v>
                </c:pt>
                <c:pt idx="1">
                  <c:v>0</c:v>
                </c:pt>
                <c:pt idx="2">
                  <c:v>0</c:v>
                </c:pt>
                <c:pt idx="3">
                  <c:v>0</c:v>
                </c:pt>
                <c:pt idx="4">
                  <c:v>0</c:v>
                </c:pt>
                <c:pt idx="5">
                  <c:v>0</c:v>
                </c:pt>
                <c:pt idx="6">
                  <c:v>0</c:v>
                </c:pt>
                <c:pt idx="7">
                  <c:v>0</c:v>
                </c:pt>
                <c:pt idx="8">
                  <c:v>0</c:v>
                </c:pt>
                <c:pt idx="9">
                  <c:v>0</c:v>
                </c:pt>
                <c:pt idx="10">
                  <c:v>0</c:v>
                </c:pt>
              </c:numCache>
            </c:numRef>
          </c:xVal>
          <c:yVal>
            <c:numRef>
              <c:f>'HCRW Treatment Cost Models'!$X$85:$AH$85</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2"/>
          <c:order val="2"/>
          <c:tx>
            <c:strRef>
              <c:f>'HCRW Treatment Cost Models'!$W$86</c:f>
              <c:strCache>
                <c:ptCount val="1"/>
                <c:pt idx="0">
                  <c:v>Incineration</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trendline>
            <c:spPr>
              <a:ln w="25400">
                <a:solidFill>
                  <a:srgbClr val="99CC00"/>
                </a:solidFill>
              </a:ln>
            </c:spPr>
            <c:trendlineType val="power"/>
            <c:dispEq val="1"/>
            <c:dispRSqr val="1"/>
            <c:trendlineLbl>
              <c:layout>
                <c:manualLayout>
                  <c:x val="0"/>
                  <c:y val="0"/>
                </c:manualLayout>
              </c:layout>
              <c:txPr>
                <a:bodyPr vert="horz" rot="0" anchor="ctr"/>
                <a:lstStyle/>
                <a:p>
                  <a:pPr algn="ctr">
                    <a:defRPr lang="en-US" cap="none" sz="1075" b="1" i="0" u="none" baseline="0">
                      <a:latin typeface="Arial"/>
                      <a:ea typeface="Arial"/>
                      <a:cs typeface="Arial"/>
                    </a:defRPr>
                  </a:pPr>
                </a:p>
              </c:txPr>
              <c:numFmt formatCode="0"/>
            </c:trendlineLbl>
          </c:trendline>
          <c:xVal>
            <c:numRef>
              <c:f>'HCRW Treatment Cost Models'!$X$83:$AH$83</c:f>
              <c:numCache>
                <c:ptCount val="11"/>
                <c:pt idx="0">
                  <c:v>0</c:v>
                </c:pt>
                <c:pt idx="1">
                  <c:v>0</c:v>
                </c:pt>
                <c:pt idx="2">
                  <c:v>0</c:v>
                </c:pt>
                <c:pt idx="3">
                  <c:v>0</c:v>
                </c:pt>
                <c:pt idx="4">
                  <c:v>0</c:v>
                </c:pt>
                <c:pt idx="5">
                  <c:v>0</c:v>
                </c:pt>
                <c:pt idx="6">
                  <c:v>0</c:v>
                </c:pt>
                <c:pt idx="7">
                  <c:v>0</c:v>
                </c:pt>
                <c:pt idx="8">
                  <c:v>0</c:v>
                </c:pt>
                <c:pt idx="9">
                  <c:v>0</c:v>
                </c:pt>
                <c:pt idx="10">
                  <c:v>0</c:v>
                </c:pt>
              </c:numCache>
            </c:numRef>
          </c:xVal>
          <c:yVal>
            <c:numRef>
              <c:f>'HCRW Treatment Cost Models'!$X$86:$AH$86</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30907597"/>
        <c:axId val="9732918"/>
      </c:scatterChart>
      <c:valAx>
        <c:axId val="30907597"/>
        <c:scaling>
          <c:orientation val="minMax"/>
          <c:max val="30000"/>
        </c:scaling>
        <c:axPos val="b"/>
        <c:title>
          <c:tx>
            <c:rich>
              <a:bodyPr vert="horz" rot="0" anchor="ctr"/>
              <a:lstStyle/>
              <a:p>
                <a:pPr algn="ctr">
                  <a:defRPr/>
                </a:pPr>
                <a:r>
                  <a:rPr lang="en-US" cap="none" sz="1200" b="1" i="0" u="none" baseline="0">
                    <a:latin typeface="Arial"/>
                    <a:ea typeface="Arial"/>
                    <a:cs typeface="Arial"/>
                  </a:rPr>
                  <a:t>Capacity: tons/year</a:t>
                </a:r>
              </a:p>
            </c:rich>
          </c:tx>
          <c:layout/>
          <c:overlay val="0"/>
          <c:spPr>
            <a:noFill/>
            <a:ln>
              <a:noFill/>
            </a:ln>
          </c:spPr>
        </c:title>
        <c:majorGridlines/>
        <c:delete val="0"/>
        <c:numFmt formatCode="#,##0" sourceLinked="0"/>
        <c:majorTickMark val="out"/>
        <c:minorTickMark val="none"/>
        <c:tickLblPos val="nextTo"/>
        <c:txPr>
          <a:bodyPr/>
          <a:lstStyle/>
          <a:p>
            <a:pPr>
              <a:defRPr lang="en-US" cap="none" sz="850" b="1" i="0" u="none" baseline="0">
                <a:latin typeface="Arial"/>
                <a:ea typeface="Arial"/>
                <a:cs typeface="Arial"/>
              </a:defRPr>
            </a:pPr>
          </a:p>
        </c:txPr>
        <c:crossAx val="9732918"/>
        <c:crosses val="autoZero"/>
        <c:crossBetween val="midCat"/>
        <c:dispUnits/>
      </c:valAx>
      <c:valAx>
        <c:axId val="9732918"/>
        <c:scaling>
          <c:orientation val="minMax"/>
        </c:scaling>
        <c:axPos val="l"/>
        <c:title>
          <c:tx>
            <c:rich>
              <a:bodyPr vert="horz" rot="-5400000" anchor="ctr"/>
              <a:lstStyle/>
              <a:p>
                <a:pPr algn="ctr">
                  <a:defRPr/>
                </a:pPr>
                <a:r>
                  <a:rPr lang="en-US" cap="none" sz="1200" b="1" i="0" u="none" baseline="0">
                    <a:latin typeface="Arial"/>
                    <a:ea typeface="Arial"/>
                    <a:cs typeface="Arial"/>
                  </a:rPr>
                  <a:t>Capital cost - Rand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30907597"/>
        <c:crosses val="autoZero"/>
        <c:crossBetween val="midCat"/>
        <c:dispUnits/>
      </c:valAx>
      <c:spPr>
        <a:solidFill>
          <a:srgbClr val="FFFFFF"/>
        </a:solidFill>
      </c:spPr>
    </c:plotArea>
    <c:legend>
      <c:legendPos val="b"/>
      <c:layout>
        <c:manualLayout>
          <c:xMode val="edge"/>
          <c:yMode val="edge"/>
          <c:x val="0.0565"/>
          <c:y val="0.9475"/>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spPr>
    <a:blipFill>
      <a:blip r:embed="rId2"/>
      <a:srcRect/>
      <a:tile sx="100000" sy="100000" flip="none" algn="tl"/>
    </a:blipFill>
  </c:spPr>
  <c:txPr>
    <a:bodyPr vert="horz" rot="0"/>
    <a:lstStyle/>
    <a:p>
      <a:pPr>
        <a:defRPr lang="en-US" cap="none" sz="2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TOTAL MONTHLY SCENARIO COST
ALL GAUTENG - DISPOSABLE CONTAINERS</a:t>
            </a:r>
          </a:p>
        </c:rich>
      </c:tx>
      <c:layout/>
      <c:spPr>
        <a:noFill/>
        <a:ln>
          <a:noFill/>
        </a:ln>
      </c:spPr>
    </c:title>
    <c:plotArea>
      <c:layout/>
      <c:scatterChart>
        <c:scatterStyle val="smoothMarker"/>
        <c:varyColors val="0"/>
        <c:ser>
          <c:idx val="2"/>
          <c:order val="0"/>
          <c:tx>
            <c:strRef>
              <c:f>'[1]Scenario Costs All Facilities'!#REF!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ser>
          <c:idx val="3"/>
          <c:order val="1"/>
          <c:tx>
            <c:strRef>
              <c:f>'[1]Scenario Costs All Facilities'!#REF!</c:f>
              <c:strCache>
                <c:ptCount val="1"/>
                <c:pt idx="0">
                  <c:v>#REF!</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ser>
          <c:idx val="4"/>
          <c:order val="2"/>
          <c:tx>
            <c:strRef>
              <c:f>'[1]Scenario Costs All Facilities'!#REF!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axId val="20487399"/>
        <c:axId val="50168864"/>
      </c:scatterChart>
      <c:valAx>
        <c:axId val="20487399"/>
        <c:scaling>
          <c:orientation val="minMax"/>
          <c:max val="20"/>
          <c:min val="0"/>
        </c:scaling>
        <c:axPos val="b"/>
        <c:title>
          <c:tx>
            <c:rich>
              <a:bodyPr vert="horz" rot="0" anchor="ctr"/>
              <a:lstStyle/>
              <a:p>
                <a:pPr algn="ctr">
                  <a:defRPr/>
                </a:pPr>
                <a:r>
                  <a:rPr lang="en-US" cap="none" sz="20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50168864"/>
        <c:crosses val="autoZero"/>
        <c:crossBetween val="midCat"/>
        <c:dispUnits/>
      </c:valAx>
      <c:valAx>
        <c:axId val="50168864"/>
        <c:scaling>
          <c:orientation val="minMax"/>
          <c:max val="7000000"/>
          <c:min val="2000000"/>
        </c:scaling>
        <c:axPos val="l"/>
        <c:title>
          <c:tx>
            <c:rich>
              <a:bodyPr vert="horz" rot="-5400000" anchor="ctr"/>
              <a:lstStyle/>
              <a:p>
                <a:pPr algn="ctr">
                  <a:defRPr/>
                </a:pPr>
                <a:r>
                  <a:rPr lang="en-US" cap="none" sz="200" b="1" i="0" u="none" baseline="0">
                    <a:latin typeface="Arial"/>
                    <a:ea typeface="Arial"/>
                    <a:cs typeface="Arial"/>
                  </a:rPr>
                  <a:t>Monthly Cost</a:t>
                </a:r>
              </a:p>
            </c:rich>
          </c:tx>
          <c:layout/>
          <c:overlay val="0"/>
          <c:spPr>
            <a:noFill/>
            <a:ln>
              <a:noFill/>
            </a:ln>
          </c:spPr>
        </c:title>
        <c:majorGridlines/>
        <c:delete val="0"/>
        <c:numFmt formatCode="&quot;R &quot;#,##0.0" sourceLinked="0"/>
        <c:majorTickMark val="out"/>
        <c:minorTickMark val="none"/>
        <c:tickLblPos val="nextTo"/>
        <c:crossAx val="20487399"/>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c:spPr>
    </c:plotArea>
    <c:legend>
      <c:legendPos val="b"/>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TOTAL MONTHLY SCENARIO COST
ALL GAUTENG - 240 L WHEELED BINS</a:t>
            </a:r>
          </a:p>
        </c:rich>
      </c:tx>
      <c:layout/>
      <c:spPr>
        <a:noFill/>
        <a:ln>
          <a:noFill/>
        </a:ln>
      </c:spPr>
    </c:title>
    <c:plotArea>
      <c:layout/>
      <c:scatterChart>
        <c:scatterStyle val="smoothMarker"/>
        <c:varyColors val="0"/>
        <c:ser>
          <c:idx val="2"/>
          <c:order val="0"/>
          <c:tx>
            <c:strRef>
              <c:f>'[1]Scenario Costs All Facilities'!#REF!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ser>
          <c:idx val="3"/>
          <c:order val="1"/>
          <c:tx>
            <c:strRef>
              <c:f>'[1]Scenario Costs All Facilities'!#REF!</c:f>
              <c:strCache>
                <c:ptCount val="1"/>
                <c:pt idx="0">
                  <c:v>#REF!</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ser>
          <c:idx val="4"/>
          <c:order val="2"/>
          <c:tx>
            <c:strRef>
              <c:f>'[1]Scenario Costs All Facilities'!#REF!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axId val="48866593"/>
        <c:axId val="37146154"/>
      </c:scatterChart>
      <c:valAx>
        <c:axId val="48866593"/>
        <c:scaling>
          <c:orientation val="minMax"/>
          <c:max val="20"/>
          <c:min val="0"/>
        </c:scaling>
        <c:axPos val="b"/>
        <c:title>
          <c:tx>
            <c:rich>
              <a:bodyPr vert="horz" rot="0" anchor="ctr"/>
              <a:lstStyle/>
              <a:p>
                <a:pPr algn="ctr">
                  <a:defRPr/>
                </a:pPr>
                <a:r>
                  <a:rPr lang="en-US" cap="none" sz="175"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37146154"/>
        <c:crosses val="autoZero"/>
        <c:crossBetween val="midCat"/>
        <c:dispUnits/>
        <c:majorUnit val="5"/>
      </c:valAx>
      <c:valAx>
        <c:axId val="37146154"/>
        <c:scaling>
          <c:orientation val="minMax"/>
          <c:max val="7000000"/>
          <c:min val="2000000"/>
        </c:scaling>
        <c:axPos val="l"/>
        <c:title>
          <c:tx>
            <c:rich>
              <a:bodyPr vert="horz" rot="-5400000" anchor="ctr"/>
              <a:lstStyle/>
              <a:p>
                <a:pPr algn="ctr">
                  <a:defRPr/>
                </a:pPr>
                <a:r>
                  <a:rPr lang="en-US" cap="none" sz="175" b="1" i="0" u="none" baseline="0">
                    <a:latin typeface="Arial"/>
                    <a:ea typeface="Arial"/>
                    <a:cs typeface="Arial"/>
                  </a:rPr>
                  <a:t>Monthly Cost</a:t>
                </a:r>
              </a:p>
            </c:rich>
          </c:tx>
          <c:layout/>
          <c:overlay val="0"/>
          <c:spPr>
            <a:noFill/>
            <a:ln>
              <a:noFill/>
            </a:ln>
          </c:spPr>
        </c:title>
        <c:majorGridlines/>
        <c:delete val="0"/>
        <c:numFmt formatCode="&quot;R &quot;#,##0.0" sourceLinked="0"/>
        <c:majorTickMark val="out"/>
        <c:minorTickMark val="none"/>
        <c:tickLblPos val="nextTo"/>
        <c:crossAx val="48866593"/>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c:spPr>
    </c:plotArea>
    <c:legend>
      <c:legendPos val="b"/>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TOTAL MONTHLY SCENARIO COST
ALL GAUTENG - 660 L WHEELED BINS</a:t>
            </a:r>
          </a:p>
        </c:rich>
      </c:tx>
      <c:layout/>
      <c:spPr>
        <a:noFill/>
        <a:ln>
          <a:noFill/>
        </a:ln>
      </c:spPr>
    </c:title>
    <c:plotArea>
      <c:layout/>
      <c:scatterChart>
        <c:scatterStyle val="smoothMarker"/>
        <c:varyColors val="0"/>
        <c:ser>
          <c:idx val="2"/>
          <c:order val="0"/>
          <c:tx>
            <c:strRef>
              <c:f>'[1]Scenario Costs All Facilities'!#REF!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ser>
          <c:idx val="3"/>
          <c:order val="1"/>
          <c:tx>
            <c:strRef>
              <c:f>'[1]Scenario Costs All Facilities'!#REF!</c:f>
              <c:strCache>
                <c:ptCount val="1"/>
                <c:pt idx="0">
                  <c:v>#REF!</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ser>
          <c:idx val="4"/>
          <c:order val="2"/>
          <c:tx>
            <c:strRef>
              <c:f>'[1]Scenario Costs All Facilities'!#REF!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strRef>
              <c:f>'[1]Scenario Costs All Facilities'!#REF!</c:f>
              <c:strCache>
                <c:ptCount val="1"/>
                <c:pt idx="0">
                  <c:v>0</c:v>
                </c:pt>
              </c:strCache>
            </c:strRef>
          </c:xVal>
          <c:yVal>
            <c:numRef>
              <c:f>'[1]Scenario Costs All Facilities'!#REF!</c:f>
              <c:numCache>
                <c:ptCount val="1"/>
                <c:pt idx="0">
                  <c:v>0</c:v>
                </c:pt>
              </c:numCache>
            </c:numRef>
          </c:yVal>
          <c:smooth val="1"/>
        </c:ser>
        <c:axId val="65879931"/>
        <c:axId val="56048468"/>
      </c:scatterChart>
      <c:valAx>
        <c:axId val="65879931"/>
        <c:scaling>
          <c:orientation val="minMax"/>
          <c:max val="20"/>
          <c:min val="0"/>
        </c:scaling>
        <c:axPos val="b"/>
        <c:title>
          <c:tx>
            <c:rich>
              <a:bodyPr vert="horz" rot="0" anchor="ctr"/>
              <a:lstStyle/>
              <a:p>
                <a:pPr algn="ctr">
                  <a:defRPr/>
                </a:pPr>
                <a:r>
                  <a:rPr lang="en-US" cap="none" sz="15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56048468"/>
        <c:crosses val="autoZero"/>
        <c:crossBetween val="midCat"/>
        <c:dispUnits/>
        <c:majorUnit val="5"/>
      </c:valAx>
      <c:valAx>
        <c:axId val="56048468"/>
        <c:scaling>
          <c:orientation val="minMax"/>
          <c:max val="7000000"/>
          <c:min val="2000000"/>
        </c:scaling>
        <c:axPos val="l"/>
        <c:title>
          <c:tx>
            <c:rich>
              <a:bodyPr vert="horz" rot="-5400000" anchor="ctr"/>
              <a:lstStyle/>
              <a:p>
                <a:pPr algn="ctr">
                  <a:defRPr/>
                </a:pPr>
                <a:r>
                  <a:rPr lang="en-US" cap="none" sz="150" b="1" i="0" u="none" baseline="0">
                    <a:latin typeface="Arial"/>
                    <a:ea typeface="Arial"/>
                    <a:cs typeface="Arial"/>
                  </a:rPr>
                  <a:t>Monthly Cost</a:t>
                </a:r>
              </a:p>
            </c:rich>
          </c:tx>
          <c:layout/>
          <c:overlay val="0"/>
          <c:spPr>
            <a:noFill/>
            <a:ln>
              <a:noFill/>
            </a:ln>
          </c:spPr>
        </c:title>
        <c:majorGridlines/>
        <c:delete val="0"/>
        <c:numFmt formatCode="&quot;R &quot;#,##0.0" sourceLinked="0"/>
        <c:majorTickMark val="out"/>
        <c:minorTickMark val="none"/>
        <c:tickLblPos val="nextTo"/>
        <c:crossAx val="65879931"/>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c:spPr>
    </c:plotArea>
    <c:legend>
      <c:legendPos val="b"/>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TOTAL MONTHLY SCENARIO COST
PROVINCIAL ONLY - DISPOSABLE CONTAINERS</a:t>
            </a:r>
          </a:p>
        </c:rich>
      </c:tx>
      <c:layout/>
      <c:spPr>
        <a:noFill/>
        <a:ln>
          <a:noFill/>
        </a:ln>
      </c:spPr>
    </c:title>
    <c:plotArea>
      <c:layout/>
      <c:scatterChart>
        <c:scatterStyle val="smoothMarker"/>
        <c:varyColors val="0"/>
        <c:ser>
          <c:idx val="3"/>
          <c:order val="0"/>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strRef>
              <c:f>#REF!</c:f>
              <c:strCache>
                <c:ptCount val="1"/>
                <c:pt idx="0">
                  <c:v>1</c:v>
                </c:pt>
              </c:strCache>
            </c:strRef>
          </c:xVal>
          <c:yVal>
            <c:numRef>
              <c:f>#REF!</c:f>
              <c:numCache>
                <c:ptCount val="1"/>
                <c:pt idx="0">
                  <c:v>1</c:v>
                </c:pt>
              </c:numCache>
            </c:numRef>
          </c:yVal>
          <c:smooth val="1"/>
        </c:ser>
        <c:ser>
          <c:idx val="4"/>
          <c:order val="1"/>
          <c:tx>
            <c:strRef>
              <c:f>#REF!</c:f>
              <c:strCache>
                <c:ptCount val="1"/>
                <c:pt idx="0">
                  <c:v>#REF!</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strRef>
              <c:f>#REF!</c:f>
              <c:strCache>
                <c:ptCount val="1"/>
                <c:pt idx="0">
                  <c:v>1</c:v>
                </c:pt>
              </c:strCache>
            </c:strRef>
          </c:xVal>
          <c:yVal>
            <c:numRef>
              <c:f>#REF!</c:f>
              <c:numCache>
                <c:ptCount val="1"/>
                <c:pt idx="0">
                  <c:v>1</c:v>
                </c:pt>
              </c:numCache>
            </c:numRef>
          </c:yVal>
          <c:smooth val="1"/>
        </c:ser>
        <c:ser>
          <c:idx val="5"/>
          <c:order val="2"/>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strRef>
              <c:f>#REF!</c:f>
              <c:strCache>
                <c:ptCount val="1"/>
                <c:pt idx="0">
                  <c:v>1</c:v>
                </c:pt>
              </c:strCache>
            </c:strRef>
          </c:xVal>
          <c:yVal>
            <c:numRef>
              <c:f>#REF!</c:f>
              <c:numCache>
                <c:ptCount val="1"/>
                <c:pt idx="0">
                  <c:v>1</c:v>
                </c:pt>
              </c:numCache>
            </c:numRef>
          </c:yVal>
          <c:smooth val="1"/>
        </c:ser>
        <c:axId val="34674165"/>
        <c:axId val="43632030"/>
      </c:scatterChart>
      <c:valAx>
        <c:axId val="34674165"/>
        <c:scaling>
          <c:orientation val="minMax"/>
        </c:scaling>
        <c:axPos val="b"/>
        <c:majorGridlines/>
        <c:minorGridlines/>
        <c:delete val="0"/>
        <c:numFmt formatCode="General" sourceLinked="1"/>
        <c:majorTickMark val="out"/>
        <c:minorTickMark val="none"/>
        <c:tickLblPos val="nextTo"/>
        <c:crossAx val="43632030"/>
        <c:crosses val="autoZero"/>
        <c:crossBetween val="midCat"/>
        <c:dispUnits/>
      </c:valAx>
      <c:valAx>
        <c:axId val="43632030"/>
        <c:scaling>
          <c:orientation val="minMax"/>
          <c:min val="1000000"/>
        </c:scaling>
        <c:axPos val="l"/>
        <c:majorGridlines/>
        <c:delete val="0"/>
        <c:numFmt formatCode="&quot;R &quot;#,##0.0" sourceLinked="0"/>
        <c:majorTickMark val="out"/>
        <c:minorTickMark val="none"/>
        <c:tickLblPos val="nextTo"/>
        <c:crossAx val="34674165"/>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c:spPr>
    </c:plotArea>
    <c:legend>
      <c:legendPos val="b"/>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MONTHLY SCENARIO COST
ALL GAUTENG - DISPOSABLE CONTAINERS</a:t>
            </a:r>
          </a:p>
        </c:rich>
      </c:tx>
      <c:layout/>
      <c:spPr>
        <a:noFill/>
        <a:ln>
          <a:noFill/>
        </a:ln>
      </c:spPr>
    </c:title>
    <c:plotArea>
      <c:layout/>
      <c:scatterChart>
        <c:scatterStyle val="smoothMarker"/>
        <c:varyColors val="0"/>
        <c:ser>
          <c:idx val="2"/>
          <c:order val="0"/>
          <c:tx>
            <c:strRef>
              <c:f>'Scenario Costs All Facilities'!$E$133:$E$134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All Facilities'!$A$135:$A$138</c:f>
              <c:numCache>
                <c:ptCount val="4"/>
                <c:pt idx="0">
                  <c:v>0</c:v>
                </c:pt>
                <c:pt idx="1">
                  <c:v>0</c:v>
                </c:pt>
                <c:pt idx="2">
                  <c:v>0</c:v>
                </c:pt>
                <c:pt idx="3">
                  <c:v>0</c:v>
                </c:pt>
              </c:numCache>
            </c:numRef>
          </c:xVal>
          <c:yVal>
            <c:numRef>
              <c:f>'Scenario Costs All Facilities'!$E$135:$E$138</c:f>
              <c:numCache>
                <c:ptCount val="4"/>
                <c:pt idx="0">
                  <c:v>0</c:v>
                </c:pt>
                <c:pt idx="1">
                  <c:v>0</c:v>
                </c:pt>
                <c:pt idx="2">
                  <c:v>0</c:v>
                </c:pt>
                <c:pt idx="3">
                  <c:v>0</c:v>
                </c:pt>
              </c:numCache>
            </c:numRef>
          </c:yVal>
          <c:smooth val="1"/>
        </c:ser>
        <c:ser>
          <c:idx val="3"/>
          <c:order val="1"/>
          <c:tx>
            <c:strRef>
              <c:f>'Scenario Costs All Facilities'!$F$133:$F$134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numRef>
              <c:f>'Scenario Costs All Facilities'!$A$135:$A$138</c:f>
              <c:numCache>
                <c:ptCount val="4"/>
                <c:pt idx="0">
                  <c:v>0</c:v>
                </c:pt>
                <c:pt idx="1">
                  <c:v>0</c:v>
                </c:pt>
                <c:pt idx="2">
                  <c:v>0</c:v>
                </c:pt>
                <c:pt idx="3">
                  <c:v>0</c:v>
                </c:pt>
              </c:numCache>
            </c:numRef>
          </c:xVal>
          <c:yVal>
            <c:numRef>
              <c:f>'Scenario Costs All Facilities'!$F$135:$F$138</c:f>
              <c:numCache>
                <c:ptCount val="4"/>
                <c:pt idx="0">
                  <c:v>0</c:v>
                </c:pt>
                <c:pt idx="1">
                  <c:v>0</c:v>
                </c:pt>
                <c:pt idx="2">
                  <c:v>0</c:v>
                </c:pt>
                <c:pt idx="3">
                  <c:v>0</c:v>
                </c:pt>
              </c:numCache>
            </c:numRef>
          </c:yVal>
          <c:smooth val="1"/>
        </c:ser>
        <c:ser>
          <c:idx val="4"/>
          <c:order val="2"/>
          <c:tx>
            <c:strRef>
              <c:f>'Scenario Costs All Facilities'!$G$133:$G$134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numRef>
              <c:f>'Scenario Costs All Facilities'!$A$135:$A$138</c:f>
              <c:numCache>
                <c:ptCount val="4"/>
                <c:pt idx="0">
                  <c:v>0</c:v>
                </c:pt>
                <c:pt idx="1">
                  <c:v>0</c:v>
                </c:pt>
                <c:pt idx="2">
                  <c:v>0</c:v>
                </c:pt>
                <c:pt idx="3">
                  <c:v>0</c:v>
                </c:pt>
              </c:numCache>
            </c:numRef>
          </c:xVal>
          <c:yVal>
            <c:numRef>
              <c:f>'Scenario Costs All Facilities'!$G$135:$G$138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All Facilities'!$A$135:$A$138</c:f>
              <c:numCache>
                <c:ptCount val="4"/>
                <c:pt idx="0">
                  <c:v>0</c:v>
                </c:pt>
                <c:pt idx="1">
                  <c:v>0</c:v>
                </c:pt>
                <c:pt idx="2">
                  <c:v>0</c:v>
                </c:pt>
                <c:pt idx="3">
                  <c:v>0</c:v>
                </c:pt>
              </c:numCache>
            </c:numRef>
          </c:xVal>
          <c:yVal>
            <c:numRef>
              <c:f>'Scenario Costs All Facilities'!$Q$135:$Q$138</c:f>
              <c:numCache>
                <c:ptCount val="4"/>
                <c:pt idx="0">
                  <c:v>0</c:v>
                </c:pt>
                <c:pt idx="1">
                  <c:v>0</c:v>
                </c:pt>
                <c:pt idx="2">
                  <c:v>0</c:v>
                </c:pt>
                <c:pt idx="3">
                  <c:v>0</c:v>
                </c:pt>
              </c:numCache>
            </c:numRef>
          </c:yVal>
          <c:smooth val="1"/>
        </c:ser>
        <c:axId val="45732401"/>
        <c:axId val="8938426"/>
      </c:scatterChart>
      <c:valAx>
        <c:axId val="45732401"/>
        <c:scaling>
          <c:orientation val="minMax"/>
          <c:max val="20"/>
          <c:min val="0"/>
        </c:scaling>
        <c:axPos val="b"/>
        <c:title>
          <c:tx>
            <c:rich>
              <a:bodyPr vert="horz" rot="0" anchor="ctr"/>
              <a:lstStyle/>
              <a:p>
                <a:pPr algn="ctr">
                  <a:defRPr/>
                </a:pPr>
                <a:r>
                  <a:rPr lang="en-US" cap="none" sz="1075"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8938426"/>
        <c:crosses val="autoZero"/>
        <c:crossBetween val="midCat"/>
        <c:dispUnits/>
      </c:valAx>
      <c:valAx>
        <c:axId val="8938426"/>
        <c:scaling>
          <c:orientation val="minMax"/>
          <c:max val="12000000"/>
          <c:min val="3000000"/>
        </c:scaling>
        <c:axPos val="l"/>
        <c:title>
          <c:tx>
            <c:rich>
              <a:bodyPr vert="horz" rot="-5400000" anchor="ctr"/>
              <a:lstStyle/>
              <a:p>
                <a:pPr algn="ctr">
                  <a:defRPr/>
                </a:pPr>
                <a:r>
                  <a:rPr lang="en-US" cap="none" sz="90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txPr>
          <a:bodyPr/>
          <a:lstStyle/>
          <a:p>
            <a:pPr>
              <a:defRPr lang="en-US" cap="none" sz="1000" b="1" i="0" u="none" baseline="0">
                <a:latin typeface="Arial"/>
                <a:ea typeface="Arial"/>
                <a:cs typeface="Arial"/>
              </a:defRPr>
            </a:pPr>
          </a:p>
        </c:txPr>
        <c:crossAx val="45732401"/>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overlay val="0"/>
    </c:legend>
    <c:plotVisOnly val="1"/>
    <c:dispBlanksAs val="gap"/>
    <c:showDLblsOverMax val="0"/>
  </c:chart>
  <c:spPr>
    <a:blipFill>
      <a:blip r:embed="rId1"/>
      <a:srcRect/>
      <a:tile sx="100000" sy="100000" flip="none" algn="tl"/>
    </a:blipFill>
  </c:spPr>
  <c:txPr>
    <a:bodyPr vert="horz" rot="0"/>
    <a:lstStyle/>
    <a:p>
      <a:pPr>
        <a:defRPr lang="en-US" cap="none" sz="11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TOTAL MONTHLY SCENARIO COST
PROVINCIAL ONLY - 240 L WHEELED BINS</a:t>
            </a:r>
          </a:p>
        </c:rich>
      </c:tx>
      <c:layout/>
      <c:spPr>
        <a:noFill/>
        <a:ln>
          <a:noFill/>
        </a:ln>
      </c:spPr>
    </c:title>
    <c:plotArea>
      <c:layout/>
      <c:scatterChart>
        <c:scatterStyle val="smoothMarker"/>
        <c:varyColors val="0"/>
        <c:ser>
          <c:idx val="3"/>
          <c:order val="0"/>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strRef>
              <c:f>#REF!</c:f>
              <c:strCache>
                <c:ptCount val="1"/>
                <c:pt idx="0">
                  <c:v>1</c:v>
                </c:pt>
              </c:strCache>
            </c:strRef>
          </c:xVal>
          <c:yVal>
            <c:numRef>
              <c:f>#REF!</c:f>
              <c:numCache>
                <c:ptCount val="1"/>
                <c:pt idx="0">
                  <c:v>1</c:v>
                </c:pt>
              </c:numCache>
            </c:numRef>
          </c:yVal>
          <c:smooth val="1"/>
        </c:ser>
        <c:ser>
          <c:idx val="4"/>
          <c:order val="1"/>
          <c:tx>
            <c:strRef>
              <c:f>#REF!</c:f>
              <c:strCache>
                <c:ptCount val="1"/>
                <c:pt idx="0">
                  <c:v>#REF!</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strRef>
              <c:f>#REF!</c:f>
              <c:strCache>
                <c:ptCount val="1"/>
                <c:pt idx="0">
                  <c:v>1</c:v>
                </c:pt>
              </c:strCache>
            </c:strRef>
          </c:xVal>
          <c:yVal>
            <c:numRef>
              <c:f>#REF!</c:f>
              <c:numCache>
                <c:ptCount val="1"/>
                <c:pt idx="0">
                  <c:v>1</c:v>
                </c:pt>
              </c:numCache>
            </c:numRef>
          </c:yVal>
          <c:smooth val="1"/>
        </c:ser>
        <c:ser>
          <c:idx val="5"/>
          <c:order val="2"/>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strRef>
              <c:f>#REF!</c:f>
              <c:strCache>
                <c:ptCount val="1"/>
                <c:pt idx="0">
                  <c:v>1</c:v>
                </c:pt>
              </c:strCache>
            </c:strRef>
          </c:xVal>
          <c:yVal>
            <c:numRef>
              <c:f>#REF!</c:f>
              <c:numCache>
                <c:ptCount val="1"/>
                <c:pt idx="0">
                  <c:v>1</c:v>
                </c:pt>
              </c:numCache>
            </c:numRef>
          </c:yVal>
          <c:smooth val="1"/>
        </c:ser>
        <c:axId val="57143951"/>
        <c:axId val="44533512"/>
      </c:scatterChart>
      <c:valAx>
        <c:axId val="57143951"/>
        <c:scaling>
          <c:orientation val="minMax"/>
        </c:scaling>
        <c:axPos val="b"/>
        <c:majorGridlines/>
        <c:minorGridlines/>
        <c:delete val="0"/>
        <c:numFmt formatCode="General" sourceLinked="1"/>
        <c:majorTickMark val="out"/>
        <c:minorTickMark val="none"/>
        <c:tickLblPos val="nextTo"/>
        <c:crossAx val="44533512"/>
        <c:crosses val="autoZero"/>
        <c:crossBetween val="midCat"/>
        <c:dispUnits/>
      </c:valAx>
      <c:valAx>
        <c:axId val="44533512"/>
        <c:scaling>
          <c:orientation val="minMax"/>
          <c:min val="1000000"/>
        </c:scaling>
        <c:axPos val="l"/>
        <c:majorGridlines/>
        <c:delete val="0"/>
        <c:numFmt formatCode="&quot;R &quot;#,##0.0" sourceLinked="0"/>
        <c:majorTickMark val="out"/>
        <c:minorTickMark val="none"/>
        <c:tickLblPos val="nextTo"/>
        <c:crossAx val="57143951"/>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c:spPr>
    </c:plotArea>
    <c:legend>
      <c:legendPos val="b"/>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TOTAL MONTHLY SCENARIO COST
PROVINCIAL ONLY - 660 L WHEELED BINS</a:t>
            </a:r>
          </a:p>
        </c:rich>
      </c:tx>
      <c:layout/>
      <c:spPr>
        <a:noFill/>
        <a:ln>
          <a:noFill/>
        </a:ln>
      </c:spPr>
    </c:title>
    <c:plotArea>
      <c:layout/>
      <c:scatterChart>
        <c:scatterStyle val="smoothMarker"/>
        <c:varyColors val="0"/>
        <c:ser>
          <c:idx val="3"/>
          <c:order val="0"/>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strRef>
              <c:f>#REF!</c:f>
              <c:strCache>
                <c:ptCount val="1"/>
                <c:pt idx="0">
                  <c:v>1</c:v>
                </c:pt>
              </c:strCache>
            </c:strRef>
          </c:xVal>
          <c:yVal>
            <c:numRef>
              <c:f>#REF!</c:f>
              <c:numCache>
                <c:ptCount val="1"/>
                <c:pt idx="0">
                  <c:v>1</c:v>
                </c:pt>
              </c:numCache>
            </c:numRef>
          </c:yVal>
          <c:smooth val="1"/>
        </c:ser>
        <c:ser>
          <c:idx val="4"/>
          <c:order val="1"/>
          <c:tx>
            <c:strRef>
              <c:f>#REF!</c:f>
              <c:strCache>
                <c:ptCount val="1"/>
                <c:pt idx="0">
                  <c:v>#REF!</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99CC00"/>
                </a:solidFill>
              </a:ln>
            </c:spPr>
          </c:marker>
          <c:xVal>
            <c:strRef>
              <c:f>#REF!</c:f>
              <c:strCache>
                <c:ptCount val="1"/>
                <c:pt idx="0">
                  <c:v>1</c:v>
                </c:pt>
              </c:strCache>
            </c:strRef>
          </c:xVal>
          <c:yVal>
            <c:numRef>
              <c:f>#REF!</c:f>
              <c:numCache>
                <c:ptCount val="1"/>
                <c:pt idx="0">
                  <c:v>1</c:v>
                </c:pt>
              </c:numCache>
            </c:numRef>
          </c:yVal>
          <c:smooth val="1"/>
        </c:ser>
        <c:ser>
          <c:idx val="5"/>
          <c:order val="2"/>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strRef>
              <c:f>#REF!</c:f>
              <c:strCache>
                <c:ptCount val="1"/>
                <c:pt idx="0">
                  <c:v>1</c:v>
                </c:pt>
              </c:strCache>
            </c:strRef>
          </c:xVal>
          <c:yVal>
            <c:numRef>
              <c:f>#REF!</c:f>
              <c:numCache>
                <c:ptCount val="1"/>
                <c:pt idx="0">
                  <c:v>1</c:v>
                </c:pt>
              </c:numCache>
            </c:numRef>
          </c:yVal>
          <c:smooth val="1"/>
        </c:ser>
        <c:axId val="65257289"/>
        <c:axId val="50444690"/>
      </c:scatterChart>
      <c:valAx>
        <c:axId val="65257289"/>
        <c:scaling>
          <c:orientation val="minMax"/>
        </c:scaling>
        <c:axPos val="b"/>
        <c:majorGridlines/>
        <c:minorGridlines/>
        <c:delete val="0"/>
        <c:numFmt formatCode="General" sourceLinked="1"/>
        <c:majorTickMark val="out"/>
        <c:minorTickMark val="none"/>
        <c:tickLblPos val="nextTo"/>
        <c:crossAx val="50444690"/>
        <c:crosses val="autoZero"/>
        <c:crossBetween val="midCat"/>
        <c:dispUnits/>
      </c:valAx>
      <c:valAx>
        <c:axId val="50444690"/>
        <c:scaling>
          <c:orientation val="minMax"/>
          <c:min val="1000000"/>
        </c:scaling>
        <c:axPos val="l"/>
        <c:majorGridlines/>
        <c:delete val="0"/>
        <c:numFmt formatCode="&quot;R &quot;#,##0.0" sourceLinked="0"/>
        <c:majorTickMark val="out"/>
        <c:minorTickMark val="none"/>
        <c:tickLblPos val="nextTo"/>
        <c:crossAx val="65257289"/>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c:spPr>
    </c:plotArea>
    <c:legend>
      <c:legendPos val="b"/>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MONTHLY COSTS: PROVINCIAL HCRW </a:t>
            </a:r>
            <a:r>
              <a:rPr lang="en-US" cap="none" sz="1775" b="1" i="0" u="sng" baseline="0">
                <a:latin typeface="Arial"/>
                <a:ea typeface="Arial"/>
                <a:cs typeface="Arial"/>
              </a:rPr>
              <a:t>ONLY</a:t>
            </a:r>
            <a:r>
              <a:rPr lang="en-US" cap="none" sz="1775" b="1" i="0" u="none" baseline="0">
                <a:latin typeface="Arial"/>
                <a:ea typeface="Arial"/>
                <a:cs typeface="Arial"/>
              </a:rPr>
              <a:t> (Incineration at 3 locations)</a:t>
            </a:r>
          </a:p>
        </c:rich>
      </c:tx>
      <c:layout/>
      <c:spPr>
        <a:noFill/>
        <a:ln>
          <a:noFill/>
        </a:ln>
      </c:spPr>
    </c:title>
    <c:plotArea>
      <c:layout>
        <c:manualLayout>
          <c:xMode val="edge"/>
          <c:yMode val="edge"/>
          <c:x val="0.058"/>
          <c:y val="0.2035"/>
          <c:w val="0.78775"/>
          <c:h val="0.70325"/>
        </c:manualLayout>
      </c:layout>
      <c:barChart>
        <c:barDir val="col"/>
        <c:grouping val="stacked"/>
        <c:varyColors val="0"/>
        <c:ser>
          <c:idx val="0"/>
          <c:order val="0"/>
          <c:tx>
            <c:strRef>
              <c:f>Graphs!$B$8:$C$8</c:f>
              <c:strCache>
                <c:ptCount val="1"/>
                <c:pt idx="0">
                  <c:v>Containerisation</c:v>
                </c:pt>
              </c:strCache>
            </c:strRef>
          </c:tx>
          <c:spPr>
            <a:pattFill prst="pct50">
              <a:fgClr>
                <a:srgbClr val="0000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Graphs!$D$7:$I$7</c:f>
              <c:strCache/>
            </c:strRef>
          </c:cat>
          <c:val>
            <c:numRef>
              <c:f>Graphs!$D$8:$I$8</c:f>
              <c:numCache>
                <c:ptCount val="6"/>
                <c:pt idx="0">
                  <c:v>0</c:v>
                </c:pt>
                <c:pt idx="1">
                  <c:v>0</c:v>
                </c:pt>
                <c:pt idx="2">
                  <c:v>0</c:v>
                </c:pt>
                <c:pt idx="3">
                  <c:v>0</c:v>
                </c:pt>
                <c:pt idx="4">
                  <c:v>0</c:v>
                </c:pt>
                <c:pt idx="5">
                  <c:v>0</c:v>
                </c:pt>
              </c:numCache>
            </c:numRef>
          </c:val>
        </c:ser>
        <c:ser>
          <c:idx val="1"/>
          <c:order val="1"/>
          <c:tx>
            <c:strRef>
              <c:f>Graphs!$B$9:$C$9</c:f>
              <c:strCache>
                <c:ptCount val="1"/>
                <c:pt idx="0">
                  <c:v>Transport</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Graphs!$D$7:$I$7</c:f>
              <c:strCache/>
            </c:strRef>
          </c:cat>
          <c:val>
            <c:numRef>
              <c:f>Graphs!$D$9:$I$9</c:f>
              <c:numCache>
                <c:ptCount val="6"/>
                <c:pt idx="0">
                  <c:v>0</c:v>
                </c:pt>
                <c:pt idx="1">
                  <c:v>0</c:v>
                </c:pt>
                <c:pt idx="2">
                  <c:v>0</c:v>
                </c:pt>
                <c:pt idx="3">
                  <c:v>0</c:v>
                </c:pt>
                <c:pt idx="4">
                  <c:v>0</c:v>
                </c:pt>
                <c:pt idx="5">
                  <c:v>0</c:v>
                </c:pt>
              </c:numCache>
            </c:numRef>
          </c:val>
        </c:ser>
        <c:ser>
          <c:idx val="2"/>
          <c:order val="2"/>
          <c:tx>
            <c:strRef>
              <c:f>Graphs!$B$10:$C$10</c:f>
              <c:strCache>
                <c:ptCount val="1"/>
                <c:pt idx="0">
                  <c:v>Cleaning and disinfection</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Graphs!$D$7:$I$7</c:f>
              <c:strCache/>
            </c:strRef>
          </c:cat>
          <c:val>
            <c:numRef>
              <c:f>Graphs!$D$10:$I$10</c:f>
              <c:numCache>
                <c:ptCount val="6"/>
                <c:pt idx="0">
                  <c:v>0</c:v>
                </c:pt>
                <c:pt idx="1">
                  <c:v>0</c:v>
                </c:pt>
                <c:pt idx="2">
                  <c:v>0</c:v>
                </c:pt>
                <c:pt idx="3">
                  <c:v>0</c:v>
                </c:pt>
                <c:pt idx="4">
                  <c:v>0</c:v>
                </c:pt>
                <c:pt idx="5">
                  <c:v>0</c:v>
                </c:pt>
              </c:numCache>
            </c:numRef>
          </c:val>
        </c:ser>
        <c:ser>
          <c:idx val="3"/>
          <c:order val="3"/>
          <c:tx>
            <c:strRef>
              <c:f>Graphs!$B$11:$C$11</c:f>
              <c:strCache>
                <c:ptCount val="1"/>
                <c:pt idx="0">
                  <c:v>Treatment</c:v>
                </c:pt>
              </c:strCache>
            </c:strRef>
          </c:tx>
          <c:spPr>
            <a:pattFill prst="wd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Graphs!$D$7:$I$7</c:f>
              <c:strCache/>
            </c:strRef>
          </c:cat>
          <c:val>
            <c:numRef>
              <c:f>Graphs!$D$11:$I$11</c:f>
              <c:numCache>
                <c:ptCount val="6"/>
                <c:pt idx="0">
                  <c:v>0</c:v>
                </c:pt>
                <c:pt idx="1">
                  <c:v>0</c:v>
                </c:pt>
                <c:pt idx="2">
                  <c:v>0</c:v>
                </c:pt>
                <c:pt idx="3">
                  <c:v>0</c:v>
                </c:pt>
                <c:pt idx="4">
                  <c:v>0</c:v>
                </c:pt>
                <c:pt idx="5">
                  <c:v>0</c:v>
                </c:pt>
              </c:numCache>
            </c:numRef>
          </c:val>
        </c:ser>
        <c:overlap val="100"/>
        <c:axId val="51349027"/>
        <c:axId val="59488060"/>
      </c:barChart>
      <c:catAx>
        <c:axId val="51349027"/>
        <c:scaling>
          <c:orientation val="minMax"/>
        </c:scaling>
        <c:axPos val="b"/>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59488060"/>
        <c:crosses val="autoZero"/>
        <c:auto val="1"/>
        <c:lblOffset val="100"/>
        <c:noMultiLvlLbl val="0"/>
      </c:catAx>
      <c:valAx>
        <c:axId val="59488060"/>
        <c:scaling>
          <c:orientation val="minMax"/>
        </c:scaling>
        <c:axPos val="l"/>
        <c:title>
          <c:tx>
            <c:rich>
              <a:bodyPr vert="horz" rot="-5400000" anchor="ctr"/>
              <a:lstStyle/>
              <a:p>
                <a:pPr algn="ctr">
                  <a:defRPr/>
                </a:pPr>
                <a:r>
                  <a:rPr lang="en-US" cap="none" sz="1575" b="1" i="0" u="none" baseline="0">
                    <a:latin typeface="Arial"/>
                    <a:ea typeface="Arial"/>
                    <a:cs typeface="Arial"/>
                  </a:rPr>
                  <a:t>MONTHLY COST</a:t>
                </a:r>
              </a:p>
            </c:rich>
          </c:tx>
          <c:layout/>
          <c:overlay val="0"/>
          <c:spPr>
            <a:noFill/>
            <a:ln>
              <a:noFill/>
            </a:ln>
          </c:spPr>
        </c:title>
        <c:majorGridlines/>
        <c:delete val="0"/>
        <c:numFmt formatCode="0.0" sourceLinked="0"/>
        <c:majorTickMark val="out"/>
        <c:minorTickMark val="none"/>
        <c:tickLblPos val="nextTo"/>
        <c:txPr>
          <a:bodyPr/>
          <a:lstStyle/>
          <a:p>
            <a:pPr>
              <a:defRPr lang="en-US" cap="none" sz="1575" b="1" i="0" u="none" baseline="0">
                <a:latin typeface="Arial"/>
                <a:ea typeface="Arial"/>
                <a:cs typeface="Arial"/>
              </a:defRPr>
            </a:pPr>
          </a:p>
        </c:txPr>
        <c:crossAx val="51349027"/>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minorUnit val="100000"/>
      </c:valAx>
      <c:spPr>
        <a:noFill/>
        <a:ln w="12700">
          <a:solidFill/>
        </a:ln>
      </c:spPr>
    </c:plotArea>
    <c:legend>
      <c:legendPos val="b"/>
      <c:layout>
        <c:manualLayout>
          <c:xMode val="edge"/>
          <c:yMode val="edge"/>
          <c:x val="0.11025"/>
          <c:y val="0.939"/>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latin typeface="Arial"/>
                <a:ea typeface="Arial"/>
                <a:cs typeface="Arial"/>
              </a:rPr>
              <a:t>MONTHLY COSTS: PROVINCIAL HCRW </a:t>
            </a:r>
            <a:r>
              <a:rPr lang="en-US" cap="none" sz="1950" b="1" i="0" u="sng" baseline="0">
                <a:latin typeface="Arial"/>
                <a:ea typeface="Arial"/>
                <a:cs typeface="Arial"/>
              </a:rPr>
              <a:t>ONLY</a:t>
            </a:r>
            <a:r>
              <a:rPr lang="en-US" cap="none" sz="1950" b="1" i="0" u="none" baseline="0">
                <a:latin typeface="Arial"/>
                <a:ea typeface="Arial"/>
                <a:cs typeface="Arial"/>
              </a:rPr>
              <a:t> (Incineration at 3 locations)</a:t>
            </a:r>
          </a:p>
        </c:rich>
      </c:tx>
      <c:layout/>
      <c:spPr>
        <a:noFill/>
        <a:ln>
          <a:noFill/>
        </a:ln>
      </c:spPr>
    </c:title>
    <c:plotArea>
      <c:layout>
        <c:manualLayout>
          <c:xMode val="edge"/>
          <c:yMode val="edge"/>
          <c:x val="0.05875"/>
          <c:y val="0.1945"/>
          <c:w val="0.83625"/>
          <c:h val="0.71175"/>
        </c:manualLayout>
      </c:layout>
      <c:barChart>
        <c:barDir val="col"/>
        <c:grouping val="stacked"/>
        <c:varyColors val="0"/>
        <c:ser>
          <c:idx val="0"/>
          <c:order val="0"/>
          <c:tx>
            <c:strRef>
              <c:f>'Graphs (colour)'!$B$8:$C$8</c:f>
              <c:strCache>
                <c:ptCount val="1"/>
                <c:pt idx="0">
                  <c:v>Containerisation</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strRef>
              <c:f>'Graphs (colour)'!$D$7:$I$7</c:f>
              <c:strCache/>
            </c:strRef>
          </c:cat>
          <c:val>
            <c:numRef>
              <c:f>'Graphs (colour)'!$D$8:$I$8</c:f>
              <c:numCache>
                <c:ptCount val="6"/>
                <c:pt idx="0">
                  <c:v>0</c:v>
                </c:pt>
                <c:pt idx="1">
                  <c:v>0</c:v>
                </c:pt>
                <c:pt idx="2">
                  <c:v>0</c:v>
                </c:pt>
                <c:pt idx="3">
                  <c:v>0</c:v>
                </c:pt>
                <c:pt idx="4">
                  <c:v>0</c:v>
                </c:pt>
                <c:pt idx="5">
                  <c:v>0</c:v>
                </c:pt>
              </c:numCache>
            </c:numRef>
          </c:val>
        </c:ser>
        <c:ser>
          <c:idx val="1"/>
          <c:order val="1"/>
          <c:tx>
            <c:strRef>
              <c:f>'Graphs (colour)'!$B$9:$C$9</c:f>
              <c:strCache>
                <c:ptCount val="1"/>
                <c:pt idx="0">
                  <c:v>Transport</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cat>
            <c:strRef>
              <c:f>'Graphs (colour)'!$D$7:$I$7</c:f>
              <c:strCache/>
            </c:strRef>
          </c:cat>
          <c:val>
            <c:numRef>
              <c:f>'Graphs (colour)'!$D$9:$I$9</c:f>
              <c:numCache>
                <c:ptCount val="6"/>
                <c:pt idx="0">
                  <c:v>0</c:v>
                </c:pt>
                <c:pt idx="1">
                  <c:v>0</c:v>
                </c:pt>
                <c:pt idx="2">
                  <c:v>0</c:v>
                </c:pt>
                <c:pt idx="3">
                  <c:v>0</c:v>
                </c:pt>
                <c:pt idx="4">
                  <c:v>0</c:v>
                </c:pt>
                <c:pt idx="5">
                  <c:v>0</c:v>
                </c:pt>
              </c:numCache>
            </c:numRef>
          </c:val>
        </c:ser>
        <c:ser>
          <c:idx val="2"/>
          <c:order val="2"/>
          <c:tx>
            <c:strRef>
              <c:f>'Graphs (colour)'!$B$10:$C$10</c:f>
              <c:strCache>
                <c:ptCount val="1"/>
                <c:pt idx="0">
                  <c:v>Cleaning and disinfection</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 (colour)'!$D$7:$I$7</c:f>
              <c:strCache/>
            </c:strRef>
          </c:cat>
          <c:val>
            <c:numRef>
              <c:f>'Graphs (colour)'!$D$10:$I$10</c:f>
              <c:numCache>
                <c:ptCount val="6"/>
                <c:pt idx="0">
                  <c:v>0</c:v>
                </c:pt>
                <c:pt idx="1">
                  <c:v>0</c:v>
                </c:pt>
                <c:pt idx="2">
                  <c:v>0</c:v>
                </c:pt>
                <c:pt idx="3">
                  <c:v>0</c:v>
                </c:pt>
                <c:pt idx="4">
                  <c:v>0</c:v>
                </c:pt>
                <c:pt idx="5">
                  <c:v>0</c:v>
                </c:pt>
              </c:numCache>
            </c:numRef>
          </c:val>
        </c:ser>
        <c:ser>
          <c:idx val="3"/>
          <c:order val="3"/>
          <c:tx>
            <c:strRef>
              <c:f>'Graphs (colour)'!$B$11:$C$11</c:f>
              <c:strCache>
                <c:ptCount val="1"/>
                <c:pt idx="0">
                  <c:v>Treatment</c:v>
                </c:pt>
              </c:strCache>
            </c:strRef>
          </c:tx>
          <c:spPr>
            <a:solidFill>
              <a:srgbClr val="00FF00"/>
            </a:solidFill>
          </c:spPr>
          <c:invertIfNegative val="0"/>
          <c:extLst>
            <c:ext xmlns:c14="http://schemas.microsoft.com/office/drawing/2007/8/2/chart" uri="{6F2FDCE9-48DA-4B69-8628-5D25D57E5C99}">
              <c14:invertSolidFillFmt>
                <c14:spPr>
                  <a:solidFill>
                    <a:srgbClr val="000000"/>
                  </a:solidFill>
                </c14:spPr>
              </c14:invertSolidFillFmt>
            </c:ext>
          </c:extLst>
          <c:cat>
            <c:strRef>
              <c:f>'Graphs (colour)'!$D$7:$I$7</c:f>
              <c:strCache/>
            </c:strRef>
          </c:cat>
          <c:val>
            <c:numRef>
              <c:f>'Graphs (colour)'!$D$11:$I$11</c:f>
              <c:numCache>
                <c:ptCount val="6"/>
                <c:pt idx="0">
                  <c:v>0</c:v>
                </c:pt>
                <c:pt idx="1">
                  <c:v>0</c:v>
                </c:pt>
                <c:pt idx="2">
                  <c:v>0</c:v>
                </c:pt>
                <c:pt idx="3">
                  <c:v>0</c:v>
                </c:pt>
                <c:pt idx="4">
                  <c:v>0</c:v>
                </c:pt>
                <c:pt idx="5">
                  <c:v>0</c:v>
                </c:pt>
              </c:numCache>
            </c:numRef>
          </c:val>
        </c:ser>
        <c:overlap val="100"/>
        <c:axId val="65630493"/>
        <c:axId val="53803526"/>
      </c:barChart>
      <c:catAx>
        <c:axId val="65630493"/>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3803526"/>
        <c:crosses val="autoZero"/>
        <c:auto val="1"/>
        <c:lblOffset val="100"/>
        <c:noMultiLvlLbl val="0"/>
      </c:catAx>
      <c:valAx>
        <c:axId val="53803526"/>
        <c:scaling>
          <c:orientation val="minMax"/>
        </c:scaling>
        <c:axPos val="l"/>
        <c:title>
          <c:tx>
            <c:rich>
              <a:bodyPr vert="horz" rot="-5400000" anchor="ctr"/>
              <a:lstStyle/>
              <a:p>
                <a:pPr algn="ctr">
                  <a:defRPr/>
                </a:pPr>
                <a:r>
                  <a:rPr lang="en-US" cap="none" sz="1875" b="1" i="0" u="none" baseline="0">
                    <a:latin typeface="Arial"/>
                    <a:ea typeface="Arial"/>
                    <a:cs typeface="Arial"/>
                  </a:rPr>
                  <a:t>MONTHLY COST</a:t>
                </a:r>
              </a:p>
            </c:rich>
          </c:tx>
          <c:layout/>
          <c:overlay val="0"/>
          <c:spPr>
            <a:noFill/>
            <a:ln>
              <a:noFill/>
            </a:ln>
          </c:spPr>
        </c:title>
        <c:majorGridlines/>
        <c:delete val="0"/>
        <c:numFmt formatCode="0.0" sourceLinked="0"/>
        <c:majorTickMark val="out"/>
        <c:minorTickMark val="none"/>
        <c:tickLblPos val="nextTo"/>
        <c:txPr>
          <a:bodyPr/>
          <a:lstStyle/>
          <a:p>
            <a:pPr>
              <a:defRPr lang="en-US" cap="none" sz="1875" b="1" i="0" u="none" baseline="0">
                <a:latin typeface="Arial"/>
                <a:ea typeface="Arial"/>
                <a:cs typeface="Arial"/>
              </a:defRPr>
            </a:pPr>
          </a:p>
        </c:txPr>
        <c:crossAx val="65630493"/>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minorUnit val="100000"/>
      </c:valAx>
      <c:spPr>
        <a:noFill/>
        <a:ln w="12700">
          <a:solidFill/>
        </a:ln>
      </c:spPr>
    </c:plotArea>
    <c:legend>
      <c:legendPos val="b"/>
      <c:layout>
        <c:manualLayout>
          <c:xMode val="edge"/>
          <c:yMode val="edge"/>
          <c:x val="0.11875"/>
          <c:y val="0.939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MONTHLY SCENARIO COST
ALL GAUTENG - 240 L WHEELED BINS</a:t>
            </a:r>
          </a:p>
        </c:rich>
      </c:tx>
      <c:layout/>
      <c:spPr>
        <a:noFill/>
        <a:ln>
          <a:noFill/>
        </a:ln>
      </c:spPr>
    </c:title>
    <c:plotArea>
      <c:layout/>
      <c:scatterChart>
        <c:scatterStyle val="smoothMarker"/>
        <c:varyColors val="0"/>
        <c:ser>
          <c:idx val="2"/>
          <c:order val="0"/>
          <c:tx>
            <c:strRef>
              <c:f>'Scenario Costs All Facilities'!$I$133:$I$134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All Facilities'!$A$135:$A$138</c:f>
              <c:numCache>
                <c:ptCount val="4"/>
                <c:pt idx="0">
                  <c:v>0</c:v>
                </c:pt>
                <c:pt idx="1">
                  <c:v>0</c:v>
                </c:pt>
                <c:pt idx="2">
                  <c:v>0</c:v>
                </c:pt>
                <c:pt idx="3">
                  <c:v>0</c:v>
                </c:pt>
              </c:numCache>
            </c:numRef>
          </c:xVal>
          <c:yVal>
            <c:numRef>
              <c:f>'Scenario Costs All Facilities'!$I$135:$I$138</c:f>
              <c:numCache>
                <c:ptCount val="4"/>
                <c:pt idx="0">
                  <c:v>0</c:v>
                </c:pt>
                <c:pt idx="1">
                  <c:v>0</c:v>
                </c:pt>
                <c:pt idx="2">
                  <c:v>0</c:v>
                </c:pt>
                <c:pt idx="3">
                  <c:v>0</c:v>
                </c:pt>
              </c:numCache>
            </c:numRef>
          </c:yVal>
          <c:smooth val="1"/>
        </c:ser>
        <c:ser>
          <c:idx val="3"/>
          <c:order val="1"/>
          <c:tx>
            <c:strRef>
              <c:f>'Scenario Costs All Facilities'!$F$133:$F$134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numRef>
              <c:f>'Scenario Costs All Facilities'!$A$135:$A$138</c:f>
              <c:numCache>
                <c:ptCount val="4"/>
                <c:pt idx="0">
                  <c:v>0</c:v>
                </c:pt>
                <c:pt idx="1">
                  <c:v>0</c:v>
                </c:pt>
                <c:pt idx="2">
                  <c:v>0</c:v>
                </c:pt>
                <c:pt idx="3">
                  <c:v>0</c:v>
                </c:pt>
              </c:numCache>
            </c:numRef>
          </c:xVal>
          <c:yVal>
            <c:numRef>
              <c:f>'Scenario Costs All Facilities'!$K$135:$K$138</c:f>
              <c:numCache>
                <c:ptCount val="4"/>
                <c:pt idx="0">
                  <c:v>0</c:v>
                </c:pt>
                <c:pt idx="1">
                  <c:v>0</c:v>
                </c:pt>
                <c:pt idx="2">
                  <c:v>0</c:v>
                </c:pt>
                <c:pt idx="3">
                  <c:v>0</c:v>
                </c:pt>
              </c:numCache>
            </c:numRef>
          </c:yVal>
          <c:smooth val="1"/>
        </c:ser>
        <c:ser>
          <c:idx val="4"/>
          <c:order val="2"/>
          <c:tx>
            <c:strRef>
              <c:f>'Scenario Costs All Facilities'!$G$133:$G$134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numRef>
              <c:f>'Scenario Costs All Facilities'!$A$135:$A$138</c:f>
              <c:numCache>
                <c:ptCount val="4"/>
                <c:pt idx="0">
                  <c:v>0</c:v>
                </c:pt>
                <c:pt idx="1">
                  <c:v>0</c:v>
                </c:pt>
                <c:pt idx="2">
                  <c:v>0</c:v>
                </c:pt>
                <c:pt idx="3">
                  <c:v>0</c:v>
                </c:pt>
              </c:numCache>
            </c:numRef>
          </c:xVal>
          <c:yVal>
            <c:numRef>
              <c:f>'Scenario Costs All Facilities'!$L$135:$L$138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All Facilities'!$A$135:$A$138</c:f>
              <c:numCache>
                <c:ptCount val="4"/>
                <c:pt idx="0">
                  <c:v>0</c:v>
                </c:pt>
                <c:pt idx="1">
                  <c:v>0</c:v>
                </c:pt>
                <c:pt idx="2">
                  <c:v>0</c:v>
                </c:pt>
                <c:pt idx="3">
                  <c:v>0</c:v>
                </c:pt>
              </c:numCache>
            </c:numRef>
          </c:xVal>
          <c:yVal>
            <c:numRef>
              <c:f>'Scenario Costs All Facilities'!$Q$135:$Q$138</c:f>
              <c:numCache>
                <c:ptCount val="4"/>
                <c:pt idx="0">
                  <c:v>0</c:v>
                </c:pt>
                <c:pt idx="1">
                  <c:v>0</c:v>
                </c:pt>
                <c:pt idx="2">
                  <c:v>0</c:v>
                </c:pt>
                <c:pt idx="3">
                  <c:v>0</c:v>
                </c:pt>
              </c:numCache>
            </c:numRef>
          </c:yVal>
          <c:smooth val="1"/>
        </c:ser>
        <c:axId val="13336971"/>
        <c:axId val="52923876"/>
      </c:scatterChart>
      <c:valAx>
        <c:axId val="13336971"/>
        <c:scaling>
          <c:orientation val="minMax"/>
          <c:max val="20"/>
          <c:min val="0"/>
        </c:scaling>
        <c:axPos val="b"/>
        <c:title>
          <c:tx>
            <c:rich>
              <a:bodyPr vert="horz" rot="0" anchor="ctr"/>
              <a:lstStyle/>
              <a:p>
                <a:pPr algn="ctr">
                  <a:defRPr/>
                </a:pPr>
                <a:r>
                  <a:rPr lang="en-US" cap="none" sz="100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52923876"/>
        <c:crosses val="autoZero"/>
        <c:crossBetween val="midCat"/>
        <c:dispUnits/>
        <c:majorUnit val="5"/>
      </c:valAx>
      <c:valAx>
        <c:axId val="52923876"/>
        <c:scaling>
          <c:orientation val="minMax"/>
          <c:max val="12000000"/>
          <c:min val="3000000"/>
        </c:scaling>
        <c:axPos val="l"/>
        <c:title>
          <c:tx>
            <c:rich>
              <a:bodyPr vert="horz" rot="-5400000" anchor="ctr"/>
              <a:lstStyle/>
              <a:p>
                <a:pPr algn="ctr">
                  <a:defRPr/>
                </a:pPr>
                <a:r>
                  <a:rPr lang="en-US" cap="none" sz="90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txPr>
          <a:bodyPr/>
          <a:lstStyle/>
          <a:p>
            <a:pPr>
              <a:defRPr lang="en-US" cap="none" sz="900" b="1" i="0" u="none" baseline="0">
                <a:latin typeface="Arial"/>
                <a:ea typeface="Arial"/>
                <a:cs typeface="Arial"/>
              </a:defRPr>
            </a:pPr>
          </a:p>
        </c:txPr>
        <c:crossAx val="13336971"/>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overlay val="0"/>
    </c:legend>
    <c:plotVisOnly val="1"/>
    <c:dispBlanksAs val="gap"/>
    <c:showDLblsOverMax val="0"/>
  </c:chart>
  <c:spPr>
    <a:blipFill>
      <a:blip r:embed="rId1"/>
      <a:srcRect/>
      <a:tile sx="100000" sy="100000" flip="none" algn="tl"/>
    </a:blipFill>
  </c:spPr>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TOTAL MONTHLY SCENARIO COST
ALL GAUTENG - 660 L WHEELED BINS</a:t>
            </a:r>
          </a:p>
        </c:rich>
      </c:tx>
      <c:layout/>
      <c:spPr>
        <a:noFill/>
        <a:ln>
          <a:noFill/>
        </a:ln>
      </c:spPr>
    </c:title>
    <c:plotArea>
      <c:layout/>
      <c:scatterChart>
        <c:scatterStyle val="smoothMarker"/>
        <c:varyColors val="0"/>
        <c:ser>
          <c:idx val="2"/>
          <c:order val="0"/>
          <c:tx>
            <c:strRef>
              <c:f>'Scenario Costs All Facilities'!$N$133:$N$134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All Facilities'!$A$135:$A$138</c:f>
              <c:numCache>
                <c:ptCount val="4"/>
                <c:pt idx="0">
                  <c:v>0</c:v>
                </c:pt>
                <c:pt idx="1">
                  <c:v>0</c:v>
                </c:pt>
                <c:pt idx="2">
                  <c:v>0</c:v>
                </c:pt>
                <c:pt idx="3">
                  <c:v>0</c:v>
                </c:pt>
              </c:numCache>
            </c:numRef>
          </c:xVal>
          <c:yVal>
            <c:numRef>
              <c:f>'Scenario Costs All Facilities'!$R$135:$R$138</c:f>
              <c:numCache>
                <c:ptCount val="4"/>
                <c:pt idx="0">
                  <c:v>0</c:v>
                </c:pt>
                <c:pt idx="1">
                  <c:v>0</c:v>
                </c:pt>
                <c:pt idx="2">
                  <c:v>0</c:v>
                </c:pt>
                <c:pt idx="3">
                  <c:v>0</c:v>
                </c:pt>
              </c:numCache>
            </c:numRef>
          </c:yVal>
          <c:smooth val="1"/>
        </c:ser>
        <c:ser>
          <c:idx val="3"/>
          <c:order val="1"/>
          <c:tx>
            <c:strRef>
              <c:f>'Scenario Costs All Facilities'!$F$133:$F$134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numRef>
              <c:f>'Scenario Costs All Facilities'!$A$135:$A$138</c:f>
              <c:numCache>
                <c:ptCount val="4"/>
                <c:pt idx="0">
                  <c:v>0</c:v>
                </c:pt>
                <c:pt idx="1">
                  <c:v>0</c:v>
                </c:pt>
                <c:pt idx="2">
                  <c:v>0</c:v>
                </c:pt>
                <c:pt idx="3">
                  <c:v>0</c:v>
                </c:pt>
              </c:numCache>
            </c:numRef>
          </c:xVal>
          <c:yVal>
            <c:numRef>
              <c:f>'Scenario Costs All Facilities'!$S$135:$S$138</c:f>
              <c:numCache>
                <c:ptCount val="4"/>
                <c:pt idx="0">
                  <c:v>0</c:v>
                </c:pt>
                <c:pt idx="1">
                  <c:v>0</c:v>
                </c:pt>
                <c:pt idx="2">
                  <c:v>0</c:v>
                </c:pt>
                <c:pt idx="3">
                  <c:v>0</c:v>
                </c:pt>
              </c:numCache>
            </c:numRef>
          </c:yVal>
          <c:smooth val="1"/>
        </c:ser>
        <c:ser>
          <c:idx val="4"/>
          <c:order val="2"/>
          <c:tx>
            <c:strRef>
              <c:f>'Scenario Costs All Facilities'!$G$133:$G$134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numRef>
              <c:f>'Scenario Costs All Facilities'!$A$135:$A$138</c:f>
              <c:numCache>
                <c:ptCount val="4"/>
                <c:pt idx="0">
                  <c:v>0</c:v>
                </c:pt>
                <c:pt idx="1">
                  <c:v>0</c:v>
                </c:pt>
                <c:pt idx="2">
                  <c:v>0</c:v>
                </c:pt>
                <c:pt idx="3">
                  <c:v>0</c:v>
                </c:pt>
              </c:numCache>
            </c:numRef>
          </c:xVal>
          <c:yVal>
            <c:numRef>
              <c:f>'Scenario Costs All Facilities'!$T$135:$T$138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All Facilities'!$A$135:$A$138</c:f>
              <c:numCache>
                <c:ptCount val="4"/>
                <c:pt idx="0">
                  <c:v>0</c:v>
                </c:pt>
                <c:pt idx="1">
                  <c:v>0</c:v>
                </c:pt>
                <c:pt idx="2">
                  <c:v>0</c:v>
                </c:pt>
                <c:pt idx="3">
                  <c:v>0</c:v>
                </c:pt>
              </c:numCache>
            </c:numRef>
          </c:xVal>
          <c:yVal>
            <c:numRef>
              <c:f>'Scenario Costs All Facilities'!$Q$135:$Q$138</c:f>
              <c:numCache>
                <c:ptCount val="4"/>
                <c:pt idx="0">
                  <c:v>0</c:v>
                </c:pt>
                <c:pt idx="1">
                  <c:v>0</c:v>
                </c:pt>
                <c:pt idx="2">
                  <c:v>0</c:v>
                </c:pt>
                <c:pt idx="3">
                  <c:v>0</c:v>
                </c:pt>
              </c:numCache>
            </c:numRef>
          </c:yVal>
          <c:smooth val="1"/>
        </c:ser>
        <c:axId val="6552837"/>
        <c:axId val="58975534"/>
      </c:scatterChart>
      <c:valAx>
        <c:axId val="6552837"/>
        <c:scaling>
          <c:orientation val="minMax"/>
          <c:max val="20"/>
          <c:min val="0"/>
        </c:scaling>
        <c:axPos val="b"/>
        <c:title>
          <c:tx>
            <c:rich>
              <a:bodyPr vert="horz" rot="0" anchor="ctr"/>
              <a:lstStyle/>
              <a:p>
                <a:pPr algn="ctr">
                  <a:defRPr/>
                </a:pPr>
                <a:r>
                  <a:rPr lang="en-US" cap="none" sz="100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58975534"/>
        <c:crosses val="autoZero"/>
        <c:crossBetween val="midCat"/>
        <c:dispUnits/>
        <c:majorUnit val="5"/>
      </c:valAx>
      <c:valAx>
        <c:axId val="58975534"/>
        <c:scaling>
          <c:orientation val="minMax"/>
          <c:max val="12000000"/>
          <c:min val="3000000"/>
        </c:scaling>
        <c:axPos val="l"/>
        <c:title>
          <c:tx>
            <c:rich>
              <a:bodyPr vert="horz" rot="-5400000" anchor="ctr"/>
              <a:lstStyle/>
              <a:p>
                <a:pPr algn="ctr">
                  <a:defRPr/>
                </a:pPr>
                <a:r>
                  <a:rPr lang="en-US" cap="none" sz="90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txPr>
          <a:bodyPr/>
          <a:lstStyle/>
          <a:p>
            <a:pPr>
              <a:defRPr lang="en-US" cap="none" sz="925" b="1" i="0" u="none" baseline="0">
                <a:latin typeface="Arial"/>
                <a:ea typeface="Arial"/>
                <a:cs typeface="Arial"/>
              </a:defRPr>
            </a:pPr>
          </a:p>
        </c:txPr>
        <c:crossAx val="6552837"/>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overlay val="0"/>
    </c:legend>
    <c:plotVisOnly val="1"/>
    <c:dispBlanksAs val="gap"/>
    <c:showDLblsOverMax val="0"/>
  </c:chart>
  <c:spPr>
    <a:blipFill>
      <a:blip r:embed="rId1"/>
      <a:srcRect/>
      <a:tile sx="100000" sy="100000" flip="none" algn="tl"/>
    </a:blipFill>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MONTHLY SCENARIO COST
ALL GAUTENG -  PLASTIC BOXES + CAGE TROLLEYS</a:t>
            </a:r>
          </a:p>
        </c:rich>
      </c:tx>
      <c:layout>
        <c:manualLayout>
          <c:xMode val="factor"/>
          <c:yMode val="factor"/>
          <c:x val="0"/>
          <c:y val="-0.0035"/>
        </c:manualLayout>
      </c:layout>
      <c:spPr>
        <a:noFill/>
        <a:ln>
          <a:noFill/>
        </a:ln>
      </c:spPr>
    </c:title>
    <c:plotArea>
      <c:layout>
        <c:manualLayout>
          <c:xMode val="edge"/>
          <c:yMode val="edge"/>
          <c:x val="0.07775"/>
          <c:y val="0.17175"/>
          <c:w val="0.8975"/>
          <c:h val="0.6155"/>
        </c:manualLayout>
      </c:layout>
      <c:scatterChart>
        <c:scatterStyle val="smoothMarker"/>
        <c:varyColors val="0"/>
        <c:ser>
          <c:idx val="2"/>
          <c:order val="0"/>
          <c:tx>
            <c:strRef>
              <c:f>'Scenario Costs All Facilities'!$N$133:$N$134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All Facilities'!$A$135:$A$138</c:f>
              <c:numCache>
                <c:ptCount val="4"/>
                <c:pt idx="0">
                  <c:v>0</c:v>
                </c:pt>
                <c:pt idx="1">
                  <c:v>0</c:v>
                </c:pt>
                <c:pt idx="2">
                  <c:v>0</c:v>
                </c:pt>
                <c:pt idx="3">
                  <c:v>0</c:v>
                </c:pt>
              </c:numCache>
            </c:numRef>
          </c:xVal>
          <c:yVal>
            <c:numRef>
              <c:f>'Scenario Costs All Facilities'!$V$135:$V$138</c:f>
              <c:numCache>
                <c:ptCount val="4"/>
                <c:pt idx="0">
                  <c:v>0</c:v>
                </c:pt>
                <c:pt idx="1">
                  <c:v>0</c:v>
                </c:pt>
                <c:pt idx="2">
                  <c:v>0</c:v>
                </c:pt>
                <c:pt idx="3">
                  <c:v>0</c:v>
                </c:pt>
              </c:numCache>
            </c:numRef>
          </c:yVal>
          <c:smooth val="1"/>
        </c:ser>
        <c:ser>
          <c:idx val="3"/>
          <c:order val="1"/>
          <c:tx>
            <c:strRef>
              <c:f>'Scenario Costs All Facilities'!$F$133:$F$134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numRef>
              <c:f>'Scenario Costs All Facilities'!$A$135:$A$138</c:f>
              <c:numCache>
                <c:ptCount val="4"/>
                <c:pt idx="0">
                  <c:v>0</c:v>
                </c:pt>
                <c:pt idx="1">
                  <c:v>0</c:v>
                </c:pt>
                <c:pt idx="2">
                  <c:v>0</c:v>
                </c:pt>
                <c:pt idx="3">
                  <c:v>0</c:v>
                </c:pt>
              </c:numCache>
            </c:numRef>
          </c:xVal>
          <c:yVal>
            <c:numRef>
              <c:f>'Scenario Costs All Facilities'!$W$135:$W$138</c:f>
              <c:numCache>
                <c:ptCount val="4"/>
                <c:pt idx="0">
                  <c:v>0</c:v>
                </c:pt>
                <c:pt idx="1">
                  <c:v>0</c:v>
                </c:pt>
                <c:pt idx="2">
                  <c:v>0</c:v>
                </c:pt>
                <c:pt idx="3">
                  <c:v>0</c:v>
                </c:pt>
              </c:numCache>
            </c:numRef>
          </c:yVal>
          <c:smooth val="1"/>
        </c:ser>
        <c:ser>
          <c:idx val="4"/>
          <c:order val="2"/>
          <c:tx>
            <c:strRef>
              <c:f>'Scenario Costs All Facilities'!$G$133:$G$134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numRef>
              <c:f>'Scenario Costs All Facilities'!$A$135:$A$138</c:f>
              <c:numCache>
                <c:ptCount val="4"/>
                <c:pt idx="0">
                  <c:v>0</c:v>
                </c:pt>
                <c:pt idx="1">
                  <c:v>0</c:v>
                </c:pt>
                <c:pt idx="2">
                  <c:v>0</c:v>
                </c:pt>
                <c:pt idx="3">
                  <c:v>0</c:v>
                </c:pt>
              </c:numCache>
            </c:numRef>
          </c:xVal>
          <c:yVal>
            <c:numRef>
              <c:f>'Scenario Costs All Facilities'!$X$135:$X$138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All Facilities'!$A$135:$A$138</c:f>
              <c:numCache>
                <c:ptCount val="4"/>
                <c:pt idx="0">
                  <c:v>0</c:v>
                </c:pt>
                <c:pt idx="1">
                  <c:v>0</c:v>
                </c:pt>
                <c:pt idx="2">
                  <c:v>0</c:v>
                </c:pt>
                <c:pt idx="3">
                  <c:v>0</c:v>
                </c:pt>
              </c:numCache>
            </c:numRef>
          </c:xVal>
          <c:yVal>
            <c:numRef>
              <c:f>'Scenario Costs All Facilities'!$Q$135:$Q$138</c:f>
              <c:numCache>
                <c:ptCount val="4"/>
                <c:pt idx="0">
                  <c:v>0</c:v>
                </c:pt>
                <c:pt idx="1">
                  <c:v>0</c:v>
                </c:pt>
                <c:pt idx="2">
                  <c:v>0</c:v>
                </c:pt>
                <c:pt idx="3">
                  <c:v>0</c:v>
                </c:pt>
              </c:numCache>
            </c:numRef>
          </c:yVal>
          <c:smooth val="1"/>
        </c:ser>
        <c:axId val="61017759"/>
        <c:axId val="12288920"/>
      </c:scatterChart>
      <c:valAx>
        <c:axId val="61017759"/>
        <c:scaling>
          <c:orientation val="minMax"/>
          <c:max val="20"/>
          <c:min val="0"/>
        </c:scaling>
        <c:axPos val="b"/>
        <c:title>
          <c:tx>
            <c:rich>
              <a:bodyPr vert="horz" rot="0" anchor="ctr"/>
              <a:lstStyle/>
              <a:p>
                <a:pPr algn="ctr">
                  <a:defRPr/>
                </a:pPr>
                <a:r>
                  <a:rPr lang="en-US" cap="none" sz="95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12288920"/>
        <c:crosses val="autoZero"/>
        <c:crossBetween val="midCat"/>
        <c:dispUnits/>
        <c:majorUnit val="5"/>
      </c:valAx>
      <c:valAx>
        <c:axId val="12288920"/>
        <c:scaling>
          <c:orientation val="minMax"/>
          <c:max val="12000000"/>
          <c:min val="3000000"/>
        </c:scaling>
        <c:axPos val="l"/>
        <c:title>
          <c:tx>
            <c:rich>
              <a:bodyPr vert="horz" rot="-5400000" anchor="ctr"/>
              <a:lstStyle/>
              <a:p>
                <a:pPr algn="ctr">
                  <a:defRPr/>
                </a:pPr>
                <a:r>
                  <a:rPr lang="en-US" cap="none" sz="85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txPr>
          <a:bodyPr/>
          <a:lstStyle/>
          <a:p>
            <a:pPr>
              <a:defRPr lang="en-US" cap="none" sz="875" b="1" i="0" u="none" baseline="0">
                <a:latin typeface="Arial"/>
                <a:ea typeface="Arial"/>
                <a:cs typeface="Arial"/>
              </a:defRPr>
            </a:pPr>
          </a:p>
        </c:txPr>
        <c:crossAx val="61017759"/>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overlay val="0"/>
    </c:legend>
    <c:plotVisOnly val="1"/>
    <c:dispBlanksAs val="gap"/>
    <c:showDLblsOverMax val="0"/>
  </c:chart>
  <c:spPr>
    <a:blipFill>
      <a:blip r:embed="rId1"/>
      <a:srcRect/>
      <a:tile sx="100000" sy="100000" flip="none" algn="tl"/>
    </a:blipFill>
  </c:spPr>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latin typeface="Arial"/>
                <a:ea typeface="Arial"/>
                <a:cs typeface="Arial"/>
              </a:rPr>
              <a:t>COMPARISON OF CONTAINERISATION SCENARIOS:
ALL GAUTENG HCRW
TREATMENT BY INCINERATION</a:t>
            </a:r>
          </a:p>
        </c:rich>
      </c:tx>
      <c:layout>
        <c:manualLayout>
          <c:xMode val="factor"/>
          <c:yMode val="factor"/>
          <c:x val="0.01875"/>
          <c:y val="-0.00325"/>
        </c:manualLayout>
      </c:layout>
      <c:spPr>
        <a:noFill/>
        <a:ln>
          <a:noFill/>
        </a:ln>
      </c:spPr>
    </c:title>
    <c:plotArea>
      <c:layout>
        <c:manualLayout>
          <c:xMode val="edge"/>
          <c:yMode val="edge"/>
          <c:x val="0.047"/>
          <c:y val="0.17325"/>
          <c:w val="0.731"/>
          <c:h val="0.7585"/>
        </c:manualLayout>
      </c:layout>
      <c:scatterChart>
        <c:scatterStyle val="smoothMarker"/>
        <c:varyColors val="0"/>
        <c:ser>
          <c:idx val="0"/>
          <c:order val="0"/>
          <c:tx>
            <c:strRef>
              <c:f>'Scenario Costs All Facilities'!$E$51:$G$51</c:f>
              <c:strCache>
                <c:ptCount val="1"/>
                <c:pt idx="0">
                  <c:v>"Disposable Containers + cage-trolleys"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'Scenario Costs All Facilities'!$A$135:$A$138</c:f>
              <c:numCache>
                <c:ptCount val="4"/>
                <c:pt idx="0">
                  <c:v>0</c:v>
                </c:pt>
                <c:pt idx="1">
                  <c:v>0</c:v>
                </c:pt>
                <c:pt idx="2">
                  <c:v>0</c:v>
                </c:pt>
                <c:pt idx="3">
                  <c:v>0</c:v>
                </c:pt>
              </c:numCache>
            </c:numRef>
          </c:xVal>
          <c:yVal>
            <c:numRef>
              <c:f>'Scenario Costs All Facilities'!$F$135:$F$138</c:f>
              <c:numCache>
                <c:ptCount val="4"/>
                <c:pt idx="0">
                  <c:v>0</c:v>
                </c:pt>
                <c:pt idx="1">
                  <c:v>0</c:v>
                </c:pt>
                <c:pt idx="2">
                  <c:v>0</c:v>
                </c:pt>
                <c:pt idx="3">
                  <c:v>0</c:v>
                </c:pt>
              </c:numCache>
            </c:numRef>
          </c:yVal>
          <c:smooth val="1"/>
        </c:ser>
        <c:ser>
          <c:idx val="1"/>
          <c:order val="1"/>
          <c:tx>
            <c:strRef>
              <c:f>'Scenario Costs All Facilities'!$I$51:$L$51</c:f>
              <c:strCache>
                <c:ptCount val="1"/>
                <c:pt idx="0">
                  <c:v>"Re-usable Containers (240 L w/bins)"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'Scenario Costs All Facilities'!$A$135:$A$138</c:f>
              <c:numCache>
                <c:ptCount val="4"/>
                <c:pt idx="0">
                  <c:v>0</c:v>
                </c:pt>
                <c:pt idx="1">
                  <c:v>0</c:v>
                </c:pt>
                <c:pt idx="2">
                  <c:v>0</c:v>
                </c:pt>
                <c:pt idx="3">
                  <c:v>0</c:v>
                </c:pt>
              </c:numCache>
            </c:numRef>
          </c:xVal>
          <c:yVal>
            <c:numRef>
              <c:f>'Scenario Costs All Facilities'!$K$135:$K$138</c:f>
              <c:numCache>
                <c:ptCount val="4"/>
                <c:pt idx="0">
                  <c:v>0</c:v>
                </c:pt>
                <c:pt idx="1">
                  <c:v>0</c:v>
                </c:pt>
                <c:pt idx="2">
                  <c:v>0</c:v>
                </c:pt>
                <c:pt idx="3">
                  <c:v>0</c:v>
                </c:pt>
              </c:numCache>
            </c:numRef>
          </c:yVal>
          <c:smooth val="1"/>
        </c:ser>
        <c:ser>
          <c:idx val="5"/>
          <c:order val="2"/>
          <c:tx>
            <c:strRef>
              <c:f>'Scenario Costs All Facilities'!$R$51:$T$51</c:f>
              <c:strCache>
                <c:ptCount val="1"/>
                <c:pt idx="0">
                  <c:v>"Re-usable Containers (660 L w/bins)"</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xVal>
            <c:numRef>
              <c:f>'Scenario Costs All Facilities'!$A$135:$A$138</c:f>
              <c:numCache>
                <c:ptCount val="4"/>
                <c:pt idx="0">
                  <c:v>0</c:v>
                </c:pt>
                <c:pt idx="1">
                  <c:v>0</c:v>
                </c:pt>
                <c:pt idx="2">
                  <c:v>0</c:v>
                </c:pt>
                <c:pt idx="3">
                  <c:v>0</c:v>
                </c:pt>
              </c:numCache>
            </c:numRef>
          </c:xVal>
          <c:yVal>
            <c:numRef>
              <c:f>'Scenario Costs All Facilities'!$S$135:$S$138</c:f>
              <c:numCache>
                <c:ptCount val="4"/>
                <c:pt idx="0">
                  <c:v>0</c:v>
                </c:pt>
                <c:pt idx="1">
                  <c:v>0</c:v>
                </c:pt>
                <c:pt idx="2">
                  <c:v>0</c:v>
                </c:pt>
                <c:pt idx="3">
                  <c:v>0</c:v>
                </c:pt>
              </c:numCache>
            </c:numRef>
          </c:yVal>
          <c:smooth val="1"/>
        </c:ser>
        <c:ser>
          <c:idx val="2"/>
          <c:order val="3"/>
          <c:tx>
            <c:strRef>
              <c:f>'Scenario Costs All Facilities'!$N$51:$P$51</c:f>
              <c:strCache>
                <c:ptCount val="1"/>
                <c:pt idx="0">
                  <c:v>"Re-usable Containers (770 L w/bins)"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'Scenario Costs All Facilities'!$A$135:$A$138</c:f>
              <c:numCache>
                <c:ptCount val="4"/>
                <c:pt idx="0">
                  <c:v>0</c:v>
                </c:pt>
                <c:pt idx="1">
                  <c:v>0</c:v>
                </c:pt>
                <c:pt idx="2">
                  <c:v>0</c:v>
                </c:pt>
                <c:pt idx="3">
                  <c:v>0</c:v>
                </c:pt>
              </c:numCache>
            </c:numRef>
          </c:xVal>
          <c:yVal>
            <c:numRef>
              <c:f>'Scenario Costs All Facilities'!$O$135:$O$138</c:f>
              <c:numCache>
                <c:ptCount val="4"/>
                <c:pt idx="0">
                  <c:v>0</c:v>
                </c:pt>
                <c:pt idx="1">
                  <c:v>0</c:v>
                </c:pt>
                <c:pt idx="2">
                  <c:v>0</c:v>
                </c:pt>
                <c:pt idx="3">
                  <c:v>0</c:v>
                </c:pt>
              </c:numCache>
            </c:numRef>
          </c:yVal>
          <c:smooth val="1"/>
        </c:ser>
        <c:ser>
          <c:idx val="3"/>
          <c:order val="4"/>
          <c:tx>
            <c:strRef>
              <c:f>'Scenario Costs All Facilities'!$V$51:$X$51</c:f>
              <c:strCache>
                <c:ptCount val="1"/>
                <c:pt idx="0">
                  <c:v>"Re-usable Containers (plastic boxes) + cage-trolleys"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'Scenario Costs All Facilities'!$A$135:$A$138</c:f>
              <c:numCache>
                <c:ptCount val="4"/>
                <c:pt idx="0">
                  <c:v>0</c:v>
                </c:pt>
                <c:pt idx="1">
                  <c:v>0</c:v>
                </c:pt>
                <c:pt idx="2">
                  <c:v>0</c:v>
                </c:pt>
                <c:pt idx="3">
                  <c:v>0</c:v>
                </c:pt>
              </c:numCache>
            </c:numRef>
          </c:xVal>
          <c:yVal>
            <c:numRef>
              <c:f>'Scenario Costs All Facilities'!$W$135:$W$138</c:f>
              <c:numCache>
                <c:ptCount val="4"/>
                <c:pt idx="0">
                  <c:v>0</c:v>
                </c:pt>
                <c:pt idx="1">
                  <c:v>0</c:v>
                </c:pt>
                <c:pt idx="2">
                  <c:v>0</c:v>
                </c:pt>
                <c:pt idx="3">
                  <c:v>0</c:v>
                </c:pt>
              </c:numCache>
            </c:numRef>
          </c:yVal>
          <c:smooth val="1"/>
        </c:ser>
        <c:ser>
          <c:idx val="4"/>
          <c:order val="5"/>
          <c:tx>
            <c:v>"Status-Quo"</c:v>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'Scenario Costs All Facilities'!$A$135:$A$138</c:f>
              <c:numCache>
                <c:ptCount val="4"/>
                <c:pt idx="0">
                  <c:v>0</c:v>
                </c:pt>
                <c:pt idx="1">
                  <c:v>0</c:v>
                </c:pt>
                <c:pt idx="2">
                  <c:v>0</c:v>
                </c:pt>
                <c:pt idx="3">
                  <c:v>0</c:v>
                </c:pt>
              </c:numCache>
            </c:numRef>
          </c:xVal>
          <c:yVal>
            <c:numRef>
              <c:f>'Scenario Costs All Facilities'!$Q$135:$Q$138</c:f>
              <c:numCache>
                <c:ptCount val="4"/>
                <c:pt idx="0">
                  <c:v>0</c:v>
                </c:pt>
                <c:pt idx="1">
                  <c:v>0</c:v>
                </c:pt>
                <c:pt idx="2">
                  <c:v>0</c:v>
                </c:pt>
                <c:pt idx="3">
                  <c:v>0</c:v>
                </c:pt>
              </c:numCache>
            </c:numRef>
          </c:yVal>
          <c:smooth val="1"/>
        </c:ser>
        <c:ser>
          <c:idx val="6"/>
          <c:order val="6"/>
          <c:tx>
            <c:strRef>
              <c:f>'Scenario Costs All Facilities'!$Z$51:$AB$51</c:f>
              <c:strCache>
                <c:ptCount val="1"/>
                <c:pt idx="0">
                  <c:v>"Re-usable Containers (plastic boxes)"</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'Scenario Costs All Facilities'!$A$135:$A$138</c:f>
              <c:numCache>
                <c:ptCount val="4"/>
                <c:pt idx="0">
                  <c:v>0</c:v>
                </c:pt>
                <c:pt idx="1">
                  <c:v>0</c:v>
                </c:pt>
                <c:pt idx="2">
                  <c:v>0</c:v>
                </c:pt>
                <c:pt idx="3">
                  <c:v>0</c:v>
                </c:pt>
              </c:numCache>
            </c:numRef>
          </c:xVal>
          <c:yVal>
            <c:numRef>
              <c:f>'Scenario Costs All Facilities'!$AA$135:$AA$138</c:f>
              <c:numCache>
                <c:ptCount val="4"/>
                <c:pt idx="0">
                  <c:v>0</c:v>
                </c:pt>
                <c:pt idx="1">
                  <c:v>0</c:v>
                </c:pt>
                <c:pt idx="2">
                  <c:v>0</c:v>
                </c:pt>
                <c:pt idx="3">
                  <c:v>0</c:v>
                </c:pt>
              </c:numCache>
            </c:numRef>
          </c:yVal>
          <c:smooth val="1"/>
        </c:ser>
        <c:axId val="43491417"/>
        <c:axId val="55878434"/>
      </c:scatterChart>
      <c:valAx>
        <c:axId val="43491417"/>
        <c:scaling>
          <c:orientation val="minMax"/>
          <c:max val="10"/>
        </c:scaling>
        <c:axPos val="b"/>
        <c:title>
          <c:tx>
            <c:rich>
              <a:bodyPr vert="horz" rot="0" anchor="ctr"/>
              <a:lstStyle/>
              <a:p>
                <a:pPr algn="ctr">
                  <a:defRPr/>
                </a:pPr>
                <a:r>
                  <a:rPr lang="en-US" cap="none" sz="1475" b="1" i="0" u="none" baseline="0">
                    <a:latin typeface="Arial"/>
                    <a:ea typeface="Arial"/>
                    <a:cs typeface="Arial"/>
                  </a:rPr>
                  <a:t>Number of Treatment Facilities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75" b="1" i="0" u="none" baseline="0">
                <a:latin typeface="Arial"/>
                <a:ea typeface="Arial"/>
                <a:cs typeface="Arial"/>
              </a:defRPr>
            </a:pPr>
          </a:p>
        </c:txPr>
        <c:crossAx val="55878434"/>
        <c:crosses val="autoZero"/>
        <c:crossBetween val="midCat"/>
        <c:dispUnits/>
      </c:valAx>
      <c:valAx>
        <c:axId val="55878434"/>
        <c:scaling>
          <c:orientation val="minMax"/>
          <c:max val="5000000"/>
          <c:min val="2500000"/>
        </c:scaling>
        <c:axPos val="l"/>
        <c:title>
          <c:tx>
            <c:rich>
              <a:bodyPr vert="horz" rot="-5400000" anchor="ctr"/>
              <a:lstStyle/>
              <a:p>
                <a:pPr algn="ctr">
                  <a:defRPr/>
                </a:pPr>
                <a:r>
                  <a:rPr lang="en-US" cap="none" sz="1475" b="1" i="0" u="none" baseline="0">
                    <a:latin typeface="Arial"/>
                    <a:ea typeface="Arial"/>
                    <a:cs typeface="Arial"/>
                  </a:rPr>
                  <a:t>Total Monthly Cost </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475" b="1" i="0" u="none" baseline="0">
                <a:latin typeface="Arial"/>
                <a:ea typeface="Arial"/>
                <a:cs typeface="Arial"/>
              </a:defRPr>
            </a:pPr>
          </a:p>
        </c:txPr>
        <c:crossAx val="43491417"/>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808080"/>
          </a:solidFill>
        </a:ln>
      </c:spPr>
    </c:plotArea>
    <c:legend>
      <c:legendPos val="r"/>
      <c:layout>
        <c:manualLayout>
          <c:xMode val="edge"/>
          <c:yMode val="edge"/>
          <c:x val="0.7925"/>
          <c:y val="0.18175"/>
          <c:w val="0.1965"/>
          <c:h val="0.74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blipFill>
      <a:blip r:embed="rId1"/>
      <a:srcRect/>
      <a:tile sx="100000" sy="100000" flip="none" algn="tl"/>
    </a:blipFill>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MONTHLY SCENARIO COST
ALL GAUTENG - 770 L WHEELED BINS</a:t>
            </a:r>
          </a:p>
        </c:rich>
      </c:tx>
      <c:layout/>
      <c:spPr>
        <a:noFill/>
        <a:ln>
          <a:noFill/>
        </a:ln>
      </c:spPr>
    </c:title>
    <c:plotArea>
      <c:layout/>
      <c:scatterChart>
        <c:scatterStyle val="smoothMarker"/>
        <c:varyColors val="0"/>
        <c:ser>
          <c:idx val="2"/>
          <c:order val="0"/>
          <c:tx>
            <c:strRef>
              <c:f>'Scenario Costs All Facilities'!$N$133:$N$134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All Facilities'!$A$135:$A$138</c:f>
              <c:numCache>
                <c:ptCount val="4"/>
                <c:pt idx="0">
                  <c:v>0</c:v>
                </c:pt>
                <c:pt idx="1">
                  <c:v>0</c:v>
                </c:pt>
                <c:pt idx="2">
                  <c:v>0</c:v>
                </c:pt>
                <c:pt idx="3">
                  <c:v>0</c:v>
                </c:pt>
              </c:numCache>
            </c:numRef>
          </c:xVal>
          <c:yVal>
            <c:numRef>
              <c:f>'Scenario Costs All Facilities'!$N$135:$N$138</c:f>
              <c:numCache>
                <c:ptCount val="4"/>
                <c:pt idx="0">
                  <c:v>0</c:v>
                </c:pt>
                <c:pt idx="1">
                  <c:v>0</c:v>
                </c:pt>
                <c:pt idx="2">
                  <c:v>0</c:v>
                </c:pt>
                <c:pt idx="3">
                  <c:v>0</c:v>
                </c:pt>
              </c:numCache>
            </c:numRef>
          </c:yVal>
          <c:smooth val="1"/>
        </c:ser>
        <c:ser>
          <c:idx val="3"/>
          <c:order val="1"/>
          <c:tx>
            <c:strRef>
              <c:f>'Scenario Costs All Facilities'!$F$133:$F$134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numRef>
              <c:f>'Scenario Costs All Facilities'!$A$135:$A$138</c:f>
              <c:numCache>
                <c:ptCount val="4"/>
                <c:pt idx="0">
                  <c:v>0</c:v>
                </c:pt>
                <c:pt idx="1">
                  <c:v>0</c:v>
                </c:pt>
                <c:pt idx="2">
                  <c:v>0</c:v>
                </c:pt>
                <c:pt idx="3">
                  <c:v>0</c:v>
                </c:pt>
              </c:numCache>
            </c:numRef>
          </c:xVal>
          <c:yVal>
            <c:numRef>
              <c:f>'Scenario Costs All Facilities'!$O$135:$O$138</c:f>
              <c:numCache>
                <c:ptCount val="4"/>
                <c:pt idx="0">
                  <c:v>0</c:v>
                </c:pt>
                <c:pt idx="1">
                  <c:v>0</c:v>
                </c:pt>
                <c:pt idx="2">
                  <c:v>0</c:v>
                </c:pt>
                <c:pt idx="3">
                  <c:v>0</c:v>
                </c:pt>
              </c:numCache>
            </c:numRef>
          </c:yVal>
          <c:smooth val="1"/>
        </c:ser>
        <c:ser>
          <c:idx val="4"/>
          <c:order val="2"/>
          <c:tx>
            <c:strRef>
              <c:f>'Scenario Costs All Facilities'!$G$133:$G$134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numRef>
              <c:f>'Scenario Costs All Facilities'!$A$135:$A$138</c:f>
              <c:numCache>
                <c:ptCount val="4"/>
                <c:pt idx="0">
                  <c:v>0</c:v>
                </c:pt>
                <c:pt idx="1">
                  <c:v>0</c:v>
                </c:pt>
                <c:pt idx="2">
                  <c:v>0</c:v>
                </c:pt>
                <c:pt idx="3">
                  <c:v>0</c:v>
                </c:pt>
              </c:numCache>
            </c:numRef>
          </c:xVal>
          <c:yVal>
            <c:numRef>
              <c:f>'Scenario Costs All Facilities'!$P$135:$P$138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All Facilities'!$A$135:$A$138</c:f>
              <c:numCache>
                <c:ptCount val="4"/>
                <c:pt idx="0">
                  <c:v>0</c:v>
                </c:pt>
                <c:pt idx="1">
                  <c:v>0</c:v>
                </c:pt>
                <c:pt idx="2">
                  <c:v>0</c:v>
                </c:pt>
                <c:pt idx="3">
                  <c:v>0</c:v>
                </c:pt>
              </c:numCache>
            </c:numRef>
          </c:xVal>
          <c:yVal>
            <c:numRef>
              <c:f>'Scenario Costs All Facilities'!$Q$135:$Q$138</c:f>
              <c:numCache>
                <c:ptCount val="4"/>
                <c:pt idx="0">
                  <c:v>0</c:v>
                </c:pt>
                <c:pt idx="1">
                  <c:v>0</c:v>
                </c:pt>
                <c:pt idx="2">
                  <c:v>0</c:v>
                </c:pt>
                <c:pt idx="3">
                  <c:v>0</c:v>
                </c:pt>
              </c:numCache>
            </c:numRef>
          </c:yVal>
          <c:smooth val="1"/>
        </c:ser>
        <c:axId val="33143859"/>
        <c:axId val="29859276"/>
      </c:scatterChart>
      <c:valAx>
        <c:axId val="33143859"/>
        <c:scaling>
          <c:orientation val="minMax"/>
          <c:max val="20"/>
          <c:min val="0"/>
        </c:scaling>
        <c:axPos val="b"/>
        <c:title>
          <c:tx>
            <c:rich>
              <a:bodyPr vert="horz" rot="0" anchor="ctr"/>
              <a:lstStyle/>
              <a:p>
                <a:pPr algn="ctr">
                  <a:defRPr/>
                </a:pPr>
                <a:r>
                  <a:rPr lang="en-US" cap="none" sz="100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29859276"/>
        <c:crosses val="autoZero"/>
        <c:crossBetween val="midCat"/>
        <c:dispUnits/>
        <c:majorUnit val="5"/>
      </c:valAx>
      <c:valAx>
        <c:axId val="29859276"/>
        <c:scaling>
          <c:orientation val="minMax"/>
          <c:max val="12000000"/>
          <c:min val="3000000"/>
        </c:scaling>
        <c:axPos val="l"/>
        <c:title>
          <c:tx>
            <c:rich>
              <a:bodyPr vert="horz" rot="-5400000" anchor="ctr"/>
              <a:lstStyle/>
              <a:p>
                <a:pPr algn="ctr">
                  <a:defRPr/>
                </a:pPr>
                <a:r>
                  <a:rPr lang="en-US" cap="none" sz="90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txPr>
          <a:bodyPr/>
          <a:lstStyle/>
          <a:p>
            <a:pPr>
              <a:defRPr lang="en-US" cap="none" sz="975" b="1" i="0" u="none" baseline="0">
                <a:latin typeface="Arial"/>
                <a:ea typeface="Arial"/>
                <a:cs typeface="Arial"/>
              </a:defRPr>
            </a:pPr>
          </a:p>
        </c:txPr>
        <c:crossAx val="33143859"/>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overlay val="0"/>
    </c:legend>
    <c:plotVisOnly val="1"/>
    <c:dispBlanksAs val="gap"/>
    <c:showDLblsOverMax val="0"/>
  </c:chart>
  <c:spPr>
    <a:blipFill>
      <a:blip r:embed="rId1"/>
      <a:srcRect/>
      <a:tile sx="100000" sy="100000" flip="none" algn="tl"/>
    </a:blipFill>
  </c:spPr>
  <c:txPr>
    <a:bodyPr vert="horz" rot="0"/>
    <a:lstStyle/>
    <a:p>
      <a:pPr>
        <a:defRPr lang="en-US" cap="none" sz="9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TOTAL MONTHLY SCENARIO COST
ALL GAUTENG -  PLASTIC BOXES</a:t>
            </a:r>
          </a:p>
        </c:rich>
      </c:tx>
      <c:layout>
        <c:manualLayout>
          <c:xMode val="factor"/>
          <c:yMode val="factor"/>
          <c:x val="0.0155"/>
          <c:y val="0.01025"/>
        </c:manualLayout>
      </c:layout>
      <c:spPr>
        <a:noFill/>
        <a:ln>
          <a:noFill/>
        </a:ln>
      </c:spPr>
    </c:title>
    <c:plotArea>
      <c:layout>
        <c:manualLayout>
          <c:xMode val="edge"/>
          <c:yMode val="edge"/>
          <c:x val="0.07775"/>
          <c:y val="0.17875"/>
          <c:w val="0.8975"/>
          <c:h val="0.65975"/>
        </c:manualLayout>
      </c:layout>
      <c:scatterChart>
        <c:scatterStyle val="smoothMarker"/>
        <c:varyColors val="0"/>
        <c:ser>
          <c:idx val="2"/>
          <c:order val="0"/>
          <c:tx>
            <c:strRef>
              <c:f>'Scenario Costs All Facilities'!$N$133:$N$134</c:f>
              <c:strCache>
                <c:ptCount val="1"/>
                <c:pt idx="0">
                  <c:v>Autoclave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'Scenario Costs All Facilities'!$A$135:$A$138</c:f>
              <c:numCache>
                <c:ptCount val="4"/>
                <c:pt idx="0">
                  <c:v>0</c:v>
                </c:pt>
                <c:pt idx="1">
                  <c:v>0</c:v>
                </c:pt>
                <c:pt idx="2">
                  <c:v>0</c:v>
                </c:pt>
                <c:pt idx="3">
                  <c:v>0</c:v>
                </c:pt>
              </c:numCache>
            </c:numRef>
          </c:xVal>
          <c:yVal>
            <c:numRef>
              <c:f>'Scenario Costs All Facilities'!$Z$135:$Z$138</c:f>
              <c:numCache>
                <c:ptCount val="4"/>
                <c:pt idx="0">
                  <c:v>0</c:v>
                </c:pt>
                <c:pt idx="1">
                  <c:v>0</c:v>
                </c:pt>
                <c:pt idx="2">
                  <c:v>0</c:v>
                </c:pt>
                <c:pt idx="3">
                  <c:v>0</c:v>
                </c:pt>
              </c:numCache>
            </c:numRef>
          </c:yVal>
          <c:smooth val="1"/>
        </c:ser>
        <c:ser>
          <c:idx val="3"/>
          <c:order val="1"/>
          <c:tx>
            <c:strRef>
              <c:f>'Scenario Costs All Facilities'!$F$133:$F$134</c:f>
              <c:strCache>
                <c:ptCount val="1"/>
                <c:pt idx="0">
                  <c:v>Incinerator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CC00"/>
                </a:solidFill>
              </a:ln>
            </c:spPr>
          </c:marker>
          <c:xVal>
            <c:numRef>
              <c:f>'Scenario Costs All Facilities'!$A$135:$A$138</c:f>
              <c:numCache>
                <c:ptCount val="4"/>
                <c:pt idx="0">
                  <c:v>0</c:v>
                </c:pt>
                <c:pt idx="1">
                  <c:v>0</c:v>
                </c:pt>
                <c:pt idx="2">
                  <c:v>0</c:v>
                </c:pt>
                <c:pt idx="3">
                  <c:v>0</c:v>
                </c:pt>
              </c:numCache>
            </c:numRef>
          </c:xVal>
          <c:yVal>
            <c:numRef>
              <c:f>'Scenario Costs All Facilities'!$AA$135:$AA$138</c:f>
              <c:numCache>
                <c:ptCount val="4"/>
                <c:pt idx="0">
                  <c:v>0</c:v>
                </c:pt>
                <c:pt idx="1">
                  <c:v>0</c:v>
                </c:pt>
                <c:pt idx="2">
                  <c:v>0</c:v>
                </c:pt>
                <c:pt idx="3">
                  <c:v>0</c:v>
                </c:pt>
              </c:numCache>
            </c:numRef>
          </c:yVal>
          <c:smooth val="1"/>
        </c:ser>
        <c:ser>
          <c:idx val="4"/>
          <c:order val="2"/>
          <c:tx>
            <c:strRef>
              <c:f>'Scenario Costs All Facilities'!$G$133:$G$134</c:f>
              <c:strCache>
                <c:ptCount val="1"/>
                <c:pt idx="0">
                  <c:v>Microwave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FF"/>
                </a:solidFill>
              </a:ln>
            </c:spPr>
          </c:marker>
          <c:xVal>
            <c:numRef>
              <c:f>'Scenario Costs All Facilities'!$A$135:$A$138</c:f>
              <c:numCache>
                <c:ptCount val="4"/>
                <c:pt idx="0">
                  <c:v>0</c:v>
                </c:pt>
                <c:pt idx="1">
                  <c:v>0</c:v>
                </c:pt>
                <c:pt idx="2">
                  <c:v>0</c:v>
                </c:pt>
                <c:pt idx="3">
                  <c:v>0</c:v>
                </c:pt>
              </c:numCache>
            </c:numRef>
          </c:xVal>
          <c:yVal>
            <c:numRef>
              <c:f>'Scenario Costs All Facilities'!$AB$135:$AB$138</c:f>
              <c:numCache>
                <c:ptCount val="4"/>
                <c:pt idx="0">
                  <c:v>0</c:v>
                </c:pt>
                <c:pt idx="1">
                  <c:v>0</c:v>
                </c:pt>
                <c:pt idx="2">
                  <c:v>0</c:v>
                </c:pt>
                <c:pt idx="3">
                  <c:v>0</c:v>
                </c:pt>
              </c:numCache>
            </c:numRef>
          </c:yVal>
          <c:smooth val="1"/>
        </c:ser>
        <c:ser>
          <c:idx val="0"/>
          <c:order val="3"/>
          <c:tx>
            <c:v>Status-quo</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'Scenario Costs All Facilities'!$A$135:$A$138</c:f>
              <c:numCache>
                <c:ptCount val="4"/>
                <c:pt idx="0">
                  <c:v>0</c:v>
                </c:pt>
                <c:pt idx="1">
                  <c:v>0</c:v>
                </c:pt>
                <c:pt idx="2">
                  <c:v>0</c:v>
                </c:pt>
                <c:pt idx="3">
                  <c:v>0</c:v>
                </c:pt>
              </c:numCache>
            </c:numRef>
          </c:xVal>
          <c:yVal>
            <c:numRef>
              <c:f>'Scenario Costs All Facilities'!$Q$135:$Q$138</c:f>
              <c:numCache>
                <c:ptCount val="4"/>
                <c:pt idx="0">
                  <c:v>0</c:v>
                </c:pt>
                <c:pt idx="1">
                  <c:v>0</c:v>
                </c:pt>
                <c:pt idx="2">
                  <c:v>0</c:v>
                </c:pt>
                <c:pt idx="3">
                  <c:v>0</c:v>
                </c:pt>
              </c:numCache>
            </c:numRef>
          </c:yVal>
          <c:smooth val="1"/>
        </c:ser>
        <c:axId val="298029"/>
        <c:axId val="2682262"/>
      </c:scatterChart>
      <c:valAx>
        <c:axId val="298029"/>
        <c:scaling>
          <c:orientation val="minMax"/>
          <c:max val="20"/>
          <c:min val="0"/>
        </c:scaling>
        <c:axPos val="b"/>
        <c:title>
          <c:tx>
            <c:rich>
              <a:bodyPr vert="horz" rot="0" anchor="ctr"/>
              <a:lstStyle/>
              <a:p>
                <a:pPr algn="ctr">
                  <a:defRPr/>
                </a:pPr>
                <a:r>
                  <a:rPr lang="en-US" cap="none" sz="950" b="1" i="0" u="none" baseline="0">
                    <a:latin typeface="Arial"/>
                    <a:ea typeface="Arial"/>
                    <a:cs typeface="Arial"/>
                  </a:rPr>
                  <a:t>Number of treatment facilities</a:t>
                </a:r>
              </a:p>
            </c:rich>
          </c:tx>
          <c:layout/>
          <c:overlay val="0"/>
          <c:spPr>
            <a:noFill/>
            <a:ln>
              <a:noFill/>
            </a:ln>
          </c:spPr>
        </c:title>
        <c:majorGridlines/>
        <c:minorGridlines/>
        <c:delete val="0"/>
        <c:numFmt formatCode="General" sourceLinked="1"/>
        <c:majorTickMark val="out"/>
        <c:minorTickMark val="none"/>
        <c:tickLblPos val="nextTo"/>
        <c:crossAx val="2682262"/>
        <c:crosses val="autoZero"/>
        <c:crossBetween val="midCat"/>
        <c:dispUnits/>
        <c:majorUnit val="5"/>
      </c:valAx>
      <c:valAx>
        <c:axId val="2682262"/>
        <c:scaling>
          <c:orientation val="minMax"/>
          <c:max val="12000000"/>
          <c:min val="3000000"/>
        </c:scaling>
        <c:axPos val="l"/>
        <c:title>
          <c:tx>
            <c:rich>
              <a:bodyPr vert="horz" rot="-5400000" anchor="ctr"/>
              <a:lstStyle/>
              <a:p>
                <a:pPr algn="ctr">
                  <a:defRPr/>
                </a:pPr>
                <a:r>
                  <a:rPr lang="en-US" cap="none" sz="850" b="1" i="0" u="none" baseline="0">
                    <a:latin typeface="Arial"/>
                    <a:ea typeface="Arial"/>
                    <a:cs typeface="Arial"/>
                  </a:rPr>
                  <a:t>Total Monthly Cost</a:t>
                </a:r>
              </a:p>
            </c:rich>
          </c:tx>
          <c:layout/>
          <c:overlay val="0"/>
          <c:spPr>
            <a:noFill/>
            <a:ln>
              <a:noFill/>
            </a:ln>
          </c:spPr>
        </c:title>
        <c:majorGridlines/>
        <c:delete val="0"/>
        <c:numFmt formatCode="&quot;R &quot;#,##0.0" sourceLinked="0"/>
        <c:majorTickMark val="out"/>
        <c:minorTickMark val="none"/>
        <c:tickLblPos val="nextTo"/>
        <c:txPr>
          <a:bodyPr/>
          <a:lstStyle/>
          <a:p>
            <a:pPr>
              <a:defRPr lang="en-US" cap="none" sz="875" b="1" i="0" u="none" baseline="0">
                <a:latin typeface="Arial"/>
                <a:ea typeface="Arial"/>
                <a:cs typeface="Arial"/>
              </a:defRPr>
            </a:pPr>
          </a:p>
        </c:txPr>
        <c:crossAx val="298029"/>
        <c:crosses val="autoZero"/>
        <c:crossBetween val="midCat"/>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c:spPr>
    </c:plotArea>
    <c:legend>
      <c:legendPos val="b"/>
      <c:layout/>
      <c:overlay val="0"/>
    </c:legend>
    <c:plotVisOnly val="1"/>
    <c:dispBlanksAs val="gap"/>
    <c:showDLblsOverMax val="0"/>
  </c:chart>
  <c:spPr>
    <a:blipFill>
      <a:blip r:embed="rId1"/>
      <a:srcRect/>
      <a:tile sx="100000" sy="100000" flip="none" algn="tl"/>
    </a:blipFill>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3.png" /><Relationship Id="rId3" Type="http://schemas.openxmlformats.org/officeDocument/2006/relationships/image" Target="../media/image1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5.emf" /><Relationship Id="rId8" Type="http://schemas.openxmlformats.org/officeDocument/2006/relationships/image" Target="../media/image7.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emf" /><Relationship Id="rId5" Type="http://schemas.openxmlformats.org/officeDocument/2006/relationships/image" Target="../media/image9.emf" /><Relationship Id="rId6" Type="http://schemas.openxmlformats.org/officeDocument/2006/relationships/image" Target="../media/image31.emf" /><Relationship Id="rId7" Type="http://schemas.openxmlformats.org/officeDocument/2006/relationships/image" Target="../media/image1.emf" /><Relationship Id="rId8" Type="http://schemas.openxmlformats.org/officeDocument/2006/relationships/image" Target="../media/image32.emf" /><Relationship Id="rId9" Type="http://schemas.openxmlformats.org/officeDocument/2006/relationships/image" Target="../media/image33.emf" /><Relationship Id="rId10" Type="http://schemas.openxmlformats.org/officeDocument/2006/relationships/chart" Target="/xl/charts/chart6.xml" /><Relationship Id="rId11" Type="http://schemas.openxmlformats.org/officeDocument/2006/relationships/image" Target="../media/image30.emf" /><Relationship Id="rId12" Type="http://schemas.openxmlformats.org/officeDocument/2006/relationships/image" Target="../media/image6.emf" /><Relationship Id="rId13" Type="http://schemas.openxmlformats.org/officeDocument/2006/relationships/chart" Target="/xl/charts/chart7.xml" /><Relationship Id="rId14" Type="http://schemas.openxmlformats.org/officeDocument/2006/relationships/chart" Target="/xl/charts/chart8.xml" /><Relationship Id="rId15"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s>
</file>

<file path=xl/drawings/_rels/drawing7.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13.emf" /><Relationship Id="rId3" Type="http://schemas.openxmlformats.org/officeDocument/2006/relationships/image" Target="../media/image8.emf" /><Relationship Id="rId4" Type="http://schemas.openxmlformats.org/officeDocument/2006/relationships/image" Target="../media/image4.emf" /><Relationship Id="rId5"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png" /><Relationship Id="rId3" Type="http://schemas.openxmlformats.org/officeDocument/2006/relationships/image" Target="../media/image26.png" /><Relationship Id="rId4" Type="http://schemas.openxmlformats.org/officeDocument/2006/relationships/image" Target="../media/image27.png" /><Relationship Id="rId5" Type="http://schemas.openxmlformats.org/officeDocument/2006/relationships/image" Target="../media/image28.emf" /><Relationship Id="rId6" Type="http://schemas.openxmlformats.org/officeDocument/2006/relationships/image" Target="../media/image29.png"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6.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 Id="rId7" Type="http://schemas.openxmlformats.org/officeDocument/2006/relationships/image" Target="../media/image22.jpeg" /><Relationship Id="rId8" Type="http://schemas.openxmlformats.org/officeDocument/2006/relationships/image" Target="../media/image2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20</xdr:row>
      <xdr:rowOff>171450</xdr:rowOff>
    </xdr:from>
    <xdr:to>
      <xdr:col>7</xdr:col>
      <xdr:colOff>466725</xdr:colOff>
      <xdr:row>23</xdr:row>
      <xdr:rowOff>133350</xdr:rowOff>
    </xdr:to>
    <xdr:pic>
      <xdr:nvPicPr>
        <xdr:cNvPr id="1" name="Picture 6"/>
        <xdr:cNvPicPr preferRelativeResize="1">
          <a:picLocks noChangeAspect="1"/>
        </xdr:cNvPicPr>
      </xdr:nvPicPr>
      <xdr:blipFill>
        <a:blip r:embed="rId1"/>
        <a:stretch>
          <a:fillRect/>
        </a:stretch>
      </xdr:blipFill>
      <xdr:spPr>
        <a:xfrm>
          <a:off x="2114550" y="4352925"/>
          <a:ext cx="2143125" cy="609600"/>
        </a:xfrm>
        <a:prstGeom prst="rect">
          <a:avLst/>
        </a:prstGeom>
        <a:noFill/>
        <a:ln w="6350" cmpd="sng">
          <a:solidFill>
            <a:srgbClr val="000000"/>
          </a:solidFill>
          <a:headEnd type="none"/>
          <a:tailEnd type="none"/>
        </a:ln>
      </xdr:spPr>
    </xdr:pic>
    <xdr:clientData/>
  </xdr:twoCellAnchor>
  <xdr:twoCellAnchor editAs="oneCell">
    <xdr:from>
      <xdr:col>7</xdr:col>
      <xdr:colOff>152400</xdr:colOff>
      <xdr:row>1</xdr:row>
      <xdr:rowOff>123825</xdr:rowOff>
    </xdr:from>
    <xdr:to>
      <xdr:col>9</xdr:col>
      <xdr:colOff>571500</xdr:colOff>
      <xdr:row>10</xdr:row>
      <xdr:rowOff>104775</xdr:rowOff>
    </xdr:to>
    <xdr:pic>
      <xdr:nvPicPr>
        <xdr:cNvPr id="2" name="Picture 7"/>
        <xdr:cNvPicPr preferRelativeResize="1">
          <a:picLocks noChangeAspect="1"/>
        </xdr:cNvPicPr>
      </xdr:nvPicPr>
      <xdr:blipFill>
        <a:blip r:embed="rId2"/>
        <a:stretch>
          <a:fillRect/>
        </a:stretch>
      </xdr:blipFill>
      <xdr:spPr>
        <a:xfrm>
          <a:off x="3943350" y="247650"/>
          <a:ext cx="1638300" cy="1514475"/>
        </a:xfrm>
        <a:prstGeom prst="rect">
          <a:avLst/>
        </a:prstGeom>
        <a:noFill/>
        <a:ln w="9525" cmpd="sng">
          <a:noFill/>
        </a:ln>
      </xdr:spPr>
    </xdr:pic>
    <xdr:clientData/>
  </xdr:twoCellAnchor>
  <xdr:twoCellAnchor editAs="oneCell">
    <xdr:from>
      <xdr:col>6</xdr:col>
      <xdr:colOff>390525</xdr:colOff>
      <xdr:row>11</xdr:row>
      <xdr:rowOff>133350</xdr:rowOff>
    </xdr:from>
    <xdr:to>
      <xdr:col>10</xdr:col>
      <xdr:colOff>257175</xdr:colOff>
      <xdr:row>14</xdr:row>
      <xdr:rowOff>190500</xdr:rowOff>
    </xdr:to>
    <xdr:pic>
      <xdr:nvPicPr>
        <xdr:cNvPr id="3" name="Picture 8"/>
        <xdr:cNvPicPr preferRelativeResize="1">
          <a:picLocks noChangeAspect="1"/>
        </xdr:cNvPicPr>
      </xdr:nvPicPr>
      <xdr:blipFill>
        <a:blip r:embed="rId3"/>
        <a:stretch>
          <a:fillRect/>
        </a:stretch>
      </xdr:blipFill>
      <xdr:spPr>
        <a:xfrm>
          <a:off x="3571875" y="2000250"/>
          <a:ext cx="2390775"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33</xdr:row>
      <xdr:rowOff>114300</xdr:rowOff>
    </xdr:from>
    <xdr:to>
      <xdr:col>18</xdr:col>
      <xdr:colOff>295275</xdr:colOff>
      <xdr:row>54</xdr:row>
      <xdr:rowOff>66675</xdr:rowOff>
    </xdr:to>
    <xdr:graphicFrame>
      <xdr:nvGraphicFramePr>
        <xdr:cNvPr id="1" name="Chart 2"/>
        <xdr:cNvGraphicFramePr/>
      </xdr:nvGraphicFramePr>
      <xdr:xfrm>
        <a:off x="9077325" y="7267575"/>
        <a:ext cx="4552950" cy="335280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33</xdr:row>
      <xdr:rowOff>104775</xdr:rowOff>
    </xdr:from>
    <xdr:to>
      <xdr:col>11</xdr:col>
      <xdr:colOff>752475</xdr:colOff>
      <xdr:row>54</xdr:row>
      <xdr:rowOff>47625</xdr:rowOff>
    </xdr:to>
    <xdr:graphicFrame>
      <xdr:nvGraphicFramePr>
        <xdr:cNvPr id="2" name="Chart 3"/>
        <xdr:cNvGraphicFramePr/>
      </xdr:nvGraphicFramePr>
      <xdr:xfrm>
        <a:off x="4562475" y="7258050"/>
        <a:ext cx="4410075" cy="33432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33</xdr:row>
      <xdr:rowOff>104775</xdr:rowOff>
    </xdr:from>
    <xdr:to>
      <xdr:col>5</xdr:col>
      <xdr:colOff>485775</xdr:colOff>
      <xdr:row>54</xdr:row>
      <xdr:rowOff>66675</xdr:rowOff>
    </xdr:to>
    <xdr:graphicFrame>
      <xdr:nvGraphicFramePr>
        <xdr:cNvPr id="3" name="Chart 4"/>
        <xdr:cNvGraphicFramePr/>
      </xdr:nvGraphicFramePr>
      <xdr:xfrm>
        <a:off x="152400" y="7258050"/>
        <a:ext cx="4324350" cy="3362325"/>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87</xdr:row>
      <xdr:rowOff>104775</xdr:rowOff>
    </xdr:from>
    <xdr:to>
      <xdr:col>5</xdr:col>
      <xdr:colOff>561975</xdr:colOff>
      <xdr:row>108</xdr:row>
      <xdr:rowOff>66675</xdr:rowOff>
    </xdr:to>
    <xdr:graphicFrame>
      <xdr:nvGraphicFramePr>
        <xdr:cNvPr id="4" name="Chart 5"/>
        <xdr:cNvGraphicFramePr/>
      </xdr:nvGraphicFramePr>
      <xdr:xfrm>
        <a:off x="161925" y="16630650"/>
        <a:ext cx="4391025" cy="3362325"/>
      </xdr:xfrm>
      <a:graphic>
        <a:graphicData uri="http://schemas.openxmlformats.org/drawingml/2006/chart">
          <c:chart xmlns:c="http://schemas.openxmlformats.org/drawingml/2006/chart" r:id="rId4"/>
        </a:graphicData>
      </a:graphic>
    </xdr:graphicFrame>
    <xdr:clientData/>
  </xdr:twoCellAnchor>
  <xdr:twoCellAnchor>
    <xdr:from>
      <xdr:col>6</xdr:col>
      <xdr:colOff>104775</xdr:colOff>
      <xdr:row>87</xdr:row>
      <xdr:rowOff>104775</xdr:rowOff>
    </xdr:from>
    <xdr:to>
      <xdr:col>11</xdr:col>
      <xdr:colOff>723900</xdr:colOff>
      <xdr:row>108</xdr:row>
      <xdr:rowOff>66675</xdr:rowOff>
    </xdr:to>
    <xdr:graphicFrame>
      <xdr:nvGraphicFramePr>
        <xdr:cNvPr id="5" name="Chart 6"/>
        <xdr:cNvGraphicFramePr/>
      </xdr:nvGraphicFramePr>
      <xdr:xfrm>
        <a:off x="4800600" y="16630650"/>
        <a:ext cx="4143375" cy="3362325"/>
      </xdr:xfrm>
      <a:graphic>
        <a:graphicData uri="http://schemas.openxmlformats.org/drawingml/2006/chart">
          <c:chart xmlns:c="http://schemas.openxmlformats.org/drawingml/2006/chart" r:id="rId5"/>
        </a:graphicData>
      </a:graphic>
    </xdr:graphicFrame>
    <xdr:clientData/>
  </xdr:twoCellAnchor>
  <xdr:twoCellAnchor>
    <xdr:from>
      <xdr:col>12</xdr:col>
      <xdr:colOff>180975</xdr:colOff>
      <xdr:row>87</xdr:row>
      <xdr:rowOff>104775</xdr:rowOff>
    </xdr:from>
    <xdr:to>
      <xdr:col>18</xdr:col>
      <xdr:colOff>180975</xdr:colOff>
      <xdr:row>108</xdr:row>
      <xdr:rowOff>85725</xdr:rowOff>
    </xdr:to>
    <xdr:graphicFrame>
      <xdr:nvGraphicFramePr>
        <xdr:cNvPr id="6" name="Chart 7"/>
        <xdr:cNvGraphicFramePr/>
      </xdr:nvGraphicFramePr>
      <xdr:xfrm>
        <a:off x="9191625" y="16630650"/>
        <a:ext cx="4324350" cy="338137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15</xdr:row>
      <xdr:rowOff>9525</xdr:rowOff>
    </xdr:from>
    <xdr:to>
      <xdr:col>1</xdr:col>
      <xdr:colOff>247650</xdr:colOff>
      <xdr:row>16</xdr:row>
      <xdr:rowOff>9525</xdr:rowOff>
    </xdr:to>
    <xdr:pic>
      <xdr:nvPicPr>
        <xdr:cNvPr id="7" name="SpinButton1"/>
        <xdr:cNvPicPr preferRelativeResize="1">
          <a:picLocks noChangeAspect="1"/>
        </xdr:cNvPicPr>
      </xdr:nvPicPr>
      <xdr:blipFill>
        <a:blip r:embed="rId7"/>
        <a:stretch>
          <a:fillRect/>
        </a:stretch>
      </xdr:blipFill>
      <xdr:spPr>
        <a:xfrm>
          <a:off x="981075" y="3648075"/>
          <a:ext cx="238125" cy="342900"/>
        </a:xfrm>
        <a:prstGeom prst="rect">
          <a:avLst/>
        </a:prstGeom>
        <a:noFill/>
        <a:ln w="9525" cmpd="sng">
          <a:noFill/>
        </a:ln>
      </xdr:spPr>
    </xdr:pic>
    <xdr:clientData/>
  </xdr:twoCellAnchor>
  <xdr:twoCellAnchor>
    <xdr:from>
      <xdr:col>1</xdr:col>
      <xdr:colOff>9525</xdr:colOff>
      <xdr:row>19</xdr:row>
      <xdr:rowOff>0</xdr:rowOff>
    </xdr:from>
    <xdr:to>
      <xdr:col>1</xdr:col>
      <xdr:colOff>247650</xdr:colOff>
      <xdr:row>20</xdr:row>
      <xdr:rowOff>0</xdr:rowOff>
    </xdr:to>
    <xdr:pic>
      <xdr:nvPicPr>
        <xdr:cNvPr id="8" name="SpinButton3"/>
        <xdr:cNvPicPr preferRelativeResize="1">
          <a:picLocks noChangeAspect="1"/>
        </xdr:cNvPicPr>
      </xdr:nvPicPr>
      <xdr:blipFill>
        <a:blip r:embed="rId8"/>
        <a:stretch>
          <a:fillRect/>
        </a:stretch>
      </xdr:blipFill>
      <xdr:spPr>
        <a:xfrm>
          <a:off x="981075" y="4562475"/>
          <a:ext cx="238125" cy="352425"/>
        </a:xfrm>
        <a:prstGeom prst="rect">
          <a:avLst/>
        </a:prstGeom>
        <a:noFill/>
        <a:ln w="9525" cmpd="sng">
          <a:noFill/>
        </a:ln>
      </xdr:spPr>
    </xdr:pic>
    <xdr:clientData/>
  </xdr:twoCellAnchor>
  <xdr:twoCellAnchor>
    <xdr:from>
      <xdr:col>1</xdr:col>
      <xdr:colOff>428625</xdr:colOff>
      <xdr:row>12</xdr:row>
      <xdr:rowOff>95250</xdr:rowOff>
    </xdr:from>
    <xdr:to>
      <xdr:col>4</xdr:col>
      <xdr:colOff>9525</xdr:colOff>
      <xdr:row>13</xdr:row>
      <xdr:rowOff>76200</xdr:rowOff>
    </xdr:to>
    <xdr:sp>
      <xdr:nvSpPr>
        <xdr:cNvPr id="9" name="AutoShape 11"/>
        <xdr:cNvSpPr>
          <a:spLocks/>
        </xdr:cNvSpPr>
      </xdr:nvSpPr>
      <xdr:spPr>
        <a:xfrm>
          <a:off x="1400175" y="2971800"/>
          <a:ext cx="1819275" cy="361950"/>
        </a:xfrm>
        <a:prstGeom prst="wedgeRoundRectCallout">
          <a:avLst>
            <a:gd name="adj1" fmla="val 21203"/>
            <a:gd name="adj2" fmla="val -94736"/>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00FF"/>
              </a:solidFill>
              <a:latin typeface="Arial"/>
              <a:ea typeface="Arial"/>
              <a:cs typeface="Arial"/>
            </a:rPr>
            <a:t>Ref. HCRW Treatment Cost Model: Graph B for formulas
</a:t>
          </a:r>
          <a:r>
            <a:rPr lang="en-US" cap="none" sz="800" b="1" i="0" u="none" baseline="0">
              <a:latin typeface="Arial"/>
              <a:ea typeface="Arial"/>
              <a:cs typeface="Arial"/>
            </a:rPr>
            <a:t>
</a:t>
          </a:r>
        </a:p>
      </xdr:txBody>
    </xdr:sp>
    <xdr:clientData/>
  </xdr:twoCellAnchor>
  <xdr:twoCellAnchor>
    <xdr:from>
      <xdr:col>7</xdr:col>
      <xdr:colOff>95250</xdr:colOff>
      <xdr:row>12</xdr:row>
      <xdr:rowOff>66675</xdr:rowOff>
    </xdr:from>
    <xdr:to>
      <xdr:col>10</xdr:col>
      <xdr:colOff>19050</xdr:colOff>
      <xdr:row>13</xdr:row>
      <xdr:rowOff>28575</xdr:rowOff>
    </xdr:to>
    <xdr:sp>
      <xdr:nvSpPr>
        <xdr:cNvPr id="10" name="AutoShape 12"/>
        <xdr:cNvSpPr>
          <a:spLocks/>
        </xdr:cNvSpPr>
      </xdr:nvSpPr>
      <xdr:spPr>
        <a:xfrm>
          <a:off x="5495925" y="2943225"/>
          <a:ext cx="1905000" cy="342900"/>
        </a:xfrm>
        <a:prstGeom prst="wedgeRoundRectCallout">
          <a:avLst>
            <a:gd name="adj1" fmla="val -50000"/>
            <a:gd name="adj2" fmla="val 277777"/>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9900"/>
              </a:solidFill>
              <a:latin typeface="Arial"/>
              <a:ea typeface="Arial"/>
              <a:cs typeface="Arial"/>
            </a:rPr>
            <a:t>Ref. HCRW Treatment Cost Model: Graph A for formulas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0.611</cdr:x>
      <cdr:y>0.38825</cdr:y>
    </cdr:from>
    <cdr:to>
      <cdr:x>0.65675</cdr:x>
      <cdr:y>0.53275</cdr:y>
    </cdr:to>
    <cdr:sp>
      <cdr:nvSpPr>
        <cdr:cNvPr id="1" name="Line 1"/>
        <cdr:cNvSpPr>
          <a:spLocks/>
        </cdr:cNvSpPr>
      </cdr:nvSpPr>
      <cdr:spPr>
        <a:xfrm>
          <a:off x="4962525" y="1609725"/>
          <a:ext cx="371475" cy="600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0.41025</cdr:x>
      <cdr:y>0.59</cdr:y>
    </cdr:from>
    <cdr:to>
      <cdr:x>0.492</cdr:x>
      <cdr:y>0.71725</cdr:y>
    </cdr:to>
    <cdr:sp>
      <cdr:nvSpPr>
        <cdr:cNvPr id="1" name="Line 1"/>
        <cdr:cNvSpPr>
          <a:spLocks/>
        </cdr:cNvSpPr>
      </cdr:nvSpPr>
      <cdr:spPr>
        <a:xfrm flipV="1">
          <a:off x="3343275" y="2438400"/>
          <a:ext cx="666750" cy="523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0.5725</cdr:y>
    </cdr:from>
    <cdr:to>
      <cdr:x>0.744</cdr:x>
      <cdr:y>0.6815</cdr:y>
    </cdr:to>
    <cdr:sp>
      <cdr:nvSpPr>
        <cdr:cNvPr id="2" name="Line 2"/>
        <cdr:cNvSpPr>
          <a:spLocks/>
        </cdr:cNvSpPr>
      </cdr:nvSpPr>
      <cdr:spPr>
        <a:xfrm flipH="1">
          <a:off x="5581650" y="2362200"/>
          <a:ext cx="485775"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552450</xdr:colOff>
      <xdr:row>51</xdr:row>
      <xdr:rowOff>85725</xdr:rowOff>
    </xdr:from>
    <xdr:to>
      <xdr:col>31</xdr:col>
      <xdr:colOff>552450</xdr:colOff>
      <xdr:row>77</xdr:row>
      <xdr:rowOff>104775</xdr:rowOff>
    </xdr:to>
    <xdr:graphicFrame>
      <xdr:nvGraphicFramePr>
        <xdr:cNvPr id="1" name="Chart 8"/>
        <xdr:cNvGraphicFramePr/>
      </xdr:nvGraphicFramePr>
      <xdr:xfrm>
        <a:off x="18869025" y="9934575"/>
        <a:ext cx="7905750" cy="5086350"/>
      </xdr:xfrm>
      <a:graphic>
        <a:graphicData uri="http://schemas.openxmlformats.org/drawingml/2006/chart">
          <c:chart xmlns:c="http://schemas.openxmlformats.org/drawingml/2006/chart" r:id="rId1"/>
        </a:graphicData>
      </a:graphic>
    </xdr:graphicFrame>
    <xdr:clientData/>
  </xdr:twoCellAnchor>
  <xdr:twoCellAnchor>
    <xdr:from>
      <xdr:col>22</xdr:col>
      <xdr:colOff>581025</xdr:colOff>
      <xdr:row>17</xdr:row>
      <xdr:rowOff>38100</xdr:rowOff>
    </xdr:from>
    <xdr:to>
      <xdr:col>32</xdr:col>
      <xdr:colOff>0</xdr:colOff>
      <xdr:row>42</xdr:row>
      <xdr:rowOff>9525</xdr:rowOff>
    </xdr:to>
    <xdr:graphicFrame>
      <xdr:nvGraphicFramePr>
        <xdr:cNvPr id="2" name="Chart 9"/>
        <xdr:cNvGraphicFramePr/>
      </xdr:nvGraphicFramePr>
      <xdr:xfrm>
        <a:off x="18897600" y="4181475"/>
        <a:ext cx="8134350" cy="4152900"/>
      </xdr:xfrm>
      <a:graphic>
        <a:graphicData uri="http://schemas.openxmlformats.org/drawingml/2006/chart">
          <c:chart xmlns:c="http://schemas.openxmlformats.org/drawingml/2006/chart" r:id="rId2"/>
        </a:graphicData>
      </a:graphic>
    </xdr:graphicFrame>
    <xdr:clientData/>
  </xdr:twoCellAnchor>
  <xdr:twoCellAnchor>
    <xdr:from>
      <xdr:col>22</xdr:col>
      <xdr:colOff>561975</xdr:colOff>
      <xdr:row>88</xdr:row>
      <xdr:rowOff>66675</xdr:rowOff>
    </xdr:from>
    <xdr:to>
      <xdr:col>32</xdr:col>
      <xdr:colOff>0</xdr:colOff>
      <xdr:row>112</xdr:row>
      <xdr:rowOff>114300</xdr:rowOff>
    </xdr:to>
    <xdr:graphicFrame>
      <xdr:nvGraphicFramePr>
        <xdr:cNvPr id="3" name="Chart 10"/>
        <xdr:cNvGraphicFramePr/>
      </xdr:nvGraphicFramePr>
      <xdr:xfrm>
        <a:off x="18878550" y="16830675"/>
        <a:ext cx="8153400" cy="4133850"/>
      </xdr:xfrm>
      <a:graphic>
        <a:graphicData uri="http://schemas.openxmlformats.org/drawingml/2006/chart">
          <c:chart xmlns:c="http://schemas.openxmlformats.org/drawingml/2006/chart" r:id="rId3"/>
        </a:graphicData>
      </a:graphic>
    </xdr:graphicFrame>
    <xdr:clientData/>
  </xdr:twoCellAnchor>
  <xdr:twoCellAnchor>
    <xdr:from>
      <xdr:col>22</xdr:col>
      <xdr:colOff>800100</xdr:colOff>
      <xdr:row>89</xdr:row>
      <xdr:rowOff>66675</xdr:rowOff>
    </xdr:from>
    <xdr:to>
      <xdr:col>23</xdr:col>
      <xdr:colOff>161925</xdr:colOff>
      <xdr:row>92</xdr:row>
      <xdr:rowOff>66675</xdr:rowOff>
    </xdr:to>
    <xdr:sp>
      <xdr:nvSpPr>
        <xdr:cNvPr id="4" name="TextBox 11"/>
        <xdr:cNvSpPr txBox="1">
          <a:spLocks noChangeArrowheads="1"/>
        </xdr:cNvSpPr>
      </xdr:nvSpPr>
      <xdr:spPr>
        <a:xfrm>
          <a:off x="19116675" y="16992600"/>
          <a:ext cx="7524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latin typeface="Arial"/>
              <a:ea typeface="Arial"/>
              <a:cs typeface="Arial"/>
            </a:rPr>
            <a:t>C</a:t>
          </a:r>
        </a:p>
      </xdr:txBody>
    </xdr:sp>
    <xdr:clientData/>
  </xdr:twoCellAnchor>
  <xdr:twoCellAnchor>
    <xdr:from>
      <xdr:col>25</xdr:col>
      <xdr:colOff>180975</xdr:colOff>
      <xdr:row>30</xdr:row>
      <xdr:rowOff>85725</xdr:rowOff>
    </xdr:from>
    <xdr:to>
      <xdr:col>25</xdr:col>
      <xdr:colOff>371475</xdr:colOff>
      <xdr:row>32</xdr:row>
      <xdr:rowOff>133350</xdr:rowOff>
    </xdr:to>
    <xdr:sp>
      <xdr:nvSpPr>
        <xdr:cNvPr id="5" name="Line 12"/>
        <xdr:cNvSpPr>
          <a:spLocks/>
        </xdr:cNvSpPr>
      </xdr:nvSpPr>
      <xdr:spPr>
        <a:xfrm flipH="1" flipV="1">
          <a:off x="21764625" y="6334125"/>
          <a:ext cx="190500" cy="3714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790575</xdr:colOff>
      <xdr:row>31</xdr:row>
      <xdr:rowOff>66675</xdr:rowOff>
    </xdr:from>
    <xdr:to>
      <xdr:col>29</xdr:col>
      <xdr:colOff>447675</xdr:colOff>
      <xdr:row>33</xdr:row>
      <xdr:rowOff>85725</xdr:rowOff>
    </xdr:to>
    <xdr:sp>
      <xdr:nvSpPr>
        <xdr:cNvPr id="6" name="Line 13"/>
        <xdr:cNvSpPr>
          <a:spLocks/>
        </xdr:cNvSpPr>
      </xdr:nvSpPr>
      <xdr:spPr>
        <a:xfrm>
          <a:off x="24317325" y="6477000"/>
          <a:ext cx="5143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100</xdr:row>
      <xdr:rowOff>38100</xdr:rowOff>
    </xdr:from>
    <xdr:to>
      <xdr:col>24</xdr:col>
      <xdr:colOff>733425</xdr:colOff>
      <xdr:row>105</xdr:row>
      <xdr:rowOff>38100</xdr:rowOff>
    </xdr:to>
    <xdr:sp>
      <xdr:nvSpPr>
        <xdr:cNvPr id="7" name="Line 14"/>
        <xdr:cNvSpPr>
          <a:spLocks/>
        </xdr:cNvSpPr>
      </xdr:nvSpPr>
      <xdr:spPr>
        <a:xfrm flipV="1">
          <a:off x="21069300" y="18945225"/>
          <a:ext cx="5143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838200</xdr:colOff>
      <xdr:row>19</xdr:row>
      <xdr:rowOff>0</xdr:rowOff>
    </xdr:from>
    <xdr:to>
      <xdr:col>23</xdr:col>
      <xdr:colOff>123825</xdr:colOff>
      <xdr:row>21</xdr:row>
      <xdr:rowOff>104775</xdr:rowOff>
    </xdr:to>
    <xdr:sp>
      <xdr:nvSpPr>
        <xdr:cNvPr id="8" name="TextBox 17"/>
        <xdr:cNvSpPr txBox="1">
          <a:spLocks noChangeArrowheads="1"/>
        </xdr:cNvSpPr>
      </xdr:nvSpPr>
      <xdr:spPr>
        <a:xfrm>
          <a:off x="19154775" y="4467225"/>
          <a:ext cx="676275"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A</a:t>
          </a:r>
        </a:p>
      </xdr:txBody>
    </xdr:sp>
    <xdr:clientData/>
  </xdr:twoCellAnchor>
  <xdr:twoCellAnchor>
    <xdr:from>
      <xdr:col>22</xdr:col>
      <xdr:colOff>904875</xdr:colOff>
      <xdr:row>52</xdr:row>
      <xdr:rowOff>114300</xdr:rowOff>
    </xdr:from>
    <xdr:to>
      <xdr:col>23</xdr:col>
      <xdr:colOff>228600</xdr:colOff>
      <xdr:row>55</xdr:row>
      <xdr:rowOff>123825</xdr:rowOff>
    </xdr:to>
    <xdr:sp>
      <xdr:nvSpPr>
        <xdr:cNvPr id="9" name="TextBox 18"/>
        <xdr:cNvSpPr txBox="1">
          <a:spLocks noChangeArrowheads="1"/>
        </xdr:cNvSpPr>
      </xdr:nvSpPr>
      <xdr:spPr>
        <a:xfrm>
          <a:off x="19221450" y="10125075"/>
          <a:ext cx="7143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latin typeface="Arial"/>
              <a:ea typeface="Arial"/>
              <a:cs typeface="Arial"/>
            </a:rPr>
            <a:t>B</a:t>
          </a:r>
        </a:p>
      </xdr:txBody>
    </xdr:sp>
    <xdr:clientData/>
  </xdr:twoCellAnchor>
  <xdr:twoCellAnchor>
    <xdr:from>
      <xdr:col>12</xdr:col>
      <xdr:colOff>104775</xdr:colOff>
      <xdr:row>1</xdr:row>
      <xdr:rowOff>314325</xdr:rowOff>
    </xdr:from>
    <xdr:to>
      <xdr:col>13</xdr:col>
      <xdr:colOff>838200</xdr:colOff>
      <xdr:row>3</xdr:row>
      <xdr:rowOff>152400</xdr:rowOff>
    </xdr:to>
    <xdr:grpSp>
      <xdr:nvGrpSpPr>
        <xdr:cNvPr id="10" name="Group 22"/>
        <xdr:cNvGrpSpPr>
          <a:grpSpLocks/>
        </xdr:cNvGrpSpPr>
      </xdr:nvGrpSpPr>
      <xdr:grpSpPr>
        <a:xfrm>
          <a:off x="10753725" y="485775"/>
          <a:ext cx="1533525" cy="676275"/>
          <a:chOff x="1089" y="61"/>
          <a:chExt cx="161" cy="71"/>
        </a:xfrm>
        <a:solidFill>
          <a:srgbClr val="FFFFFF"/>
        </a:solidFill>
      </xdr:grpSpPr>
      <xdr:sp>
        <xdr:nvSpPr>
          <xdr:cNvPr id="11" name="AutoShape 19"/>
          <xdr:cNvSpPr>
            <a:spLocks/>
          </xdr:cNvSpPr>
        </xdr:nvSpPr>
        <xdr:spPr>
          <a:xfrm>
            <a:off x="1089" y="61"/>
            <a:ext cx="161" cy="71"/>
          </a:xfrm>
          <a:prstGeom prst="rightArrow">
            <a:avLst>
              <a:gd name="adj1" fmla="val 25208"/>
              <a:gd name="adj2" fmla="val -259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Box 20"/>
          <xdr:cNvSpPr txBox="1">
            <a:spLocks noChangeArrowheads="1"/>
          </xdr:cNvSpPr>
        </xdr:nvSpPr>
        <xdr:spPr>
          <a:xfrm>
            <a:off x="1098" y="81"/>
            <a:ext cx="100" cy="32"/>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Graphs</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14</xdr:row>
      <xdr:rowOff>9525</xdr:rowOff>
    </xdr:from>
    <xdr:to>
      <xdr:col>4</xdr:col>
      <xdr:colOff>0</xdr:colOff>
      <xdr:row>15</xdr:row>
      <xdr:rowOff>0</xdr:rowOff>
    </xdr:to>
    <xdr:pic>
      <xdr:nvPicPr>
        <xdr:cNvPr id="1" name="SpinButton1"/>
        <xdr:cNvPicPr preferRelativeResize="1">
          <a:picLocks noChangeAspect="1"/>
        </xdr:cNvPicPr>
      </xdr:nvPicPr>
      <xdr:blipFill>
        <a:blip r:embed="rId1"/>
        <a:stretch>
          <a:fillRect/>
        </a:stretch>
      </xdr:blipFill>
      <xdr:spPr>
        <a:xfrm>
          <a:off x="2257425" y="2809875"/>
          <a:ext cx="342900" cy="342900"/>
        </a:xfrm>
        <a:prstGeom prst="rect">
          <a:avLst/>
        </a:prstGeom>
        <a:noFill/>
        <a:ln w="9525" cmpd="sng">
          <a:noFill/>
        </a:ln>
      </xdr:spPr>
    </xdr:pic>
    <xdr:clientData/>
  </xdr:twoCellAnchor>
  <xdr:twoCellAnchor>
    <xdr:from>
      <xdr:col>3</xdr:col>
      <xdr:colOff>0</xdr:colOff>
      <xdr:row>24</xdr:row>
      <xdr:rowOff>9525</xdr:rowOff>
    </xdr:from>
    <xdr:to>
      <xdr:col>4</xdr:col>
      <xdr:colOff>0</xdr:colOff>
      <xdr:row>25</xdr:row>
      <xdr:rowOff>19050</xdr:rowOff>
    </xdr:to>
    <xdr:pic>
      <xdr:nvPicPr>
        <xdr:cNvPr id="2" name="SpinButton2"/>
        <xdr:cNvPicPr preferRelativeResize="1">
          <a:picLocks noChangeAspect="1"/>
        </xdr:cNvPicPr>
      </xdr:nvPicPr>
      <xdr:blipFill>
        <a:blip r:embed="rId2"/>
        <a:stretch>
          <a:fillRect/>
        </a:stretch>
      </xdr:blipFill>
      <xdr:spPr>
        <a:xfrm>
          <a:off x="2247900" y="4743450"/>
          <a:ext cx="352425" cy="371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47</xdr:row>
      <xdr:rowOff>0</xdr:rowOff>
    </xdr:from>
    <xdr:to>
      <xdr:col>7</xdr:col>
      <xdr:colOff>66675</xdr:colOff>
      <xdr:row>47</xdr:row>
      <xdr:rowOff>0</xdr:rowOff>
    </xdr:to>
    <xdr:graphicFrame>
      <xdr:nvGraphicFramePr>
        <xdr:cNvPr id="1" name="Chart 1"/>
        <xdr:cNvGraphicFramePr/>
      </xdr:nvGraphicFramePr>
      <xdr:xfrm>
        <a:off x="3076575" y="10772775"/>
        <a:ext cx="4391025" cy="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47</xdr:row>
      <xdr:rowOff>0</xdr:rowOff>
    </xdr:from>
    <xdr:to>
      <xdr:col>8</xdr:col>
      <xdr:colOff>0</xdr:colOff>
      <xdr:row>47</xdr:row>
      <xdr:rowOff>0</xdr:rowOff>
    </xdr:to>
    <xdr:graphicFrame>
      <xdr:nvGraphicFramePr>
        <xdr:cNvPr id="2" name="Chart 2"/>
        <xdr:cNvGraphicFramePr/>
      </xdr:nvGraphicFramePr>
      <xdr:xfrm>
        <a:off x="7600950" y="10772775"/>
        <a:ext cx="581025"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47</xdr:row>
      <xdr:rowOff>0</xdr:rowOff>
    </xdr:from>
    <xdr:to>
      <xdr:col>8</xdr:col>
      <xdr:colOff>0</xdr:colOff>
      <xdr:row>47</xdr:row>
      <xdr:rowOff>0</xdr:rowOff>
    </xdr:to>
    <xdr:graphicFrame>
      <xdr:nvGraphicFramePr>
        <xdr:cNvPr id="3" name="Chart 3"/>
        <xdr:cNvGraphicFramePr/>
      </xdr:nvGraphicFramePr>
      <xdr:xfrm>
        <a:off x="8181975" y="10772775"/>
        <a:ext cx="0" cy="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6</xdr:col>
      <xdr:colOff>1009650</xdr:colOff>
      <xdr:row>0</xdr:row>
      <xdr:rowOff>0</xdr:rowOff>
    </xdr:to>
    <xdr:graphicFrame>
      <xdr:nvGraphicFramePr>
        <xdr:cNvPr id="1" name="Chart 1"/>
        <xdr:cNvGraphicFramePr/>
      </xdr:nvGraphicFramePr>
      <xdr:xfrm>
        <a:off x="3381375" y="0"/>
        <a:ext cx="4191000" cy="0"/>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0</xdr:row>
      <xdr:rowOff>0</xdr:rowOff>
    </xdr:from>
    <xdr:to>
      <xdr:col>8</xdr:col>
      <xdr:colOff>0</xdr:colOff>
      <xdr:row>0</xdr:row>
      <xdr:rowOff>0</xdr:rowOff>
    </xdr:to>
    <xdr:graphicFrame>
      <xdr:nvGraphicFramePr>
        <xdr:cNvPr id="2" name="Chart 2"/>
        <xdr:cNvGraphicFramePr/>
      </xdr:nvGraphicFramePr>
      <xdr:xfrm>
        <a:off x="7762875" y="0"/>
        <a:ext cx="542925"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0</xdr:row>
      <xdr:rowOff>0</xdr:rowOff>
    </xdr:from>
    <xdr:to>
      <xdr:col>8</xdr:col>
      <xdr:colOff>0</xdr:colOff>
      <xdr:row>0</xdr:row>
      <xdr:rowOff>0</xdr:rowOff>
    </xdr:to>
    <xdr:graphicFrame>
      <xdr:nvGraphicFramePr>
        <xdr:cNvPr id="3" name="Chart 3"/>
        <xdr:cNvGraphicFramePr/>
      </xdr:nvGraphicFramePr>
      <xdr:xfrm>
        <a:off x="8305800" y="0"/>
        <a:ext cx="0" cy="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19050</xdr:rowOff>
    </xdr:from>
    <xdr:to>
      <xdr:col>9</xdr:col>
      <xdr:colOff>504825</xdr:colOff>
      <xdr:row>47</xdr:row>
      <xdr:rowOff>85725</xdr:rowOff>
    </xdr:to>
    <xdr:graphicFrame>
      <xdr:nvGraphicFramePr>
        <xdr:cNvPr id="1" name="Chart 1"/>
        <xdr:cNvGraphicFramePr/>
      </xdr:nvGraphicFramePr>
      <xdr:xfrm>
        <a:off x="495300" y="3590925"/>
        <a:ext cx="7343775" cy="47625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28575</xdr:rowOff>
    </xdr:from>
    <xdr:to>
      <xdr:col>11</xdr:col>
      <xdr:colOff>400050</xdr:colOff>
      <xdr:row>50</xdr:row>
      <xdr:rowOff>123825</xdr:rowOff>
    </xdr:to>
    <xdr:graphicFrame>
      <xdr:nvGraphicFramePr>
        <xdr:cNvPr id="1" name="Chart 1"/>
        <xdr:cNvGraphicFramePr/>
      </xdr:nvGraphicFramePr>
      <xdr:xfrm>
        <a:off x="495300" y="3600450"/>
        <a:ext cx="8181975"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0.5755</cdr:y>
    </cdr:from>
    <cdr:to>
      <cdr:x>0.98425</cdr:x>
      <cdr:y>0.9815</cdr:y>
    </cdr:to>
    <cdr:sp>
      <cdr:nvSpPr>
        <cdr:cNvPr id="1" name="TextBox 1"/>
        <cdr:cNvSpPr txBox="1">
          <a:spLocks noChangeArrowheads="1"/>
        </cdr:cNvSpPr>
      </cdr:nvSpPr>
      <cdr:spPr>
        <a:xfrm>
          <a:off x="5838825" y="3133725"/>
          <a:ext cx="1857375" cy="2209800"/>
        </a:xfrm>
        <a:prstGeom prst="rect">
          <a:avLst/>
        </a:prstGeom>
        <a:solidFill>
          <a:srgbClr val="FFFFFF"/>
        </a:solidFill>
        <a:ln w="9525" cmpd="sng">
          <a:solidFill>
            <a:srgbClr val="000000"/>
          </a:solidFill>
          <a:headEnd type="none"/>
          <a:tailEnd type="none"/>
        </a:ln>
      </cdr:spPr>
      <cdr:txBody>
        <a:bodyPr vertOverflow="clip" wrap="square" anchor="ctr"/>
        <a:p>
          <a:pPr algn="l">
            <a:defRPr/>
          </a:pPr>
          <a:r>
            <a:rPr lang="en-US" cap="none" sz="800" b="1" i="0" u="none" baseline="0">
              <a:latin typeface="Arial"/>
              <a:ea typeface="Arial"/>
              <a:cs typeface="Arial"/>
            </a:rPr>
            <a:t>S.1 = Scenario 1 (disposable boxes)
S.2 = Scenario 2 (240 L wheel bins)
S.3 = Scenario 3 (770 L wheel bins)
S.3a=Scenario 3a (660 L wheel bins)
S.4 = Scenario 4 (plastic boxes + cage-trolleys)
S.4a = Scenario 4a (plastic boxes)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cdr:x>
      <cdr:y>0.55525</cdr:y>
    </cdr:from>
    <cdr:to>
      <cdr:x>0.971</cdr:x>
      <cdr:y>0.95825</cdr:y>
    </cdr:to>
    <cdr:sp>
      <cdr:nvSpPr>
        <cdr:cNvPr id="1" name="TextBox 1"/>
        <cdr:cNvSpPr txBox="1">
          <a:spLocks noChangeArrowheads="1"/>
        </cdr:cNvSpPr>
      </cdr:nvSpPr>
      <cdr:spPr>
        <a:xfrm>
          <a:off x="5295900" y="3028950"/>
          <a:ext cx="2028825" cy="2200275"/>
        </a:xfrm>
        <a:prstGeom prst="rect">
          <a:avLst/>
        </a:prstGeom>
        <a:solidFill>
          <a:srgbClr val="FFFFFF"/>
        </a:solidFill>
        <a:ln w="9525" cmpd="sng">
          <a:solidFill>
            <a:srgbClr val="000000"/>
          </a:solidFill>
          <a:headEnd type="none"/>
          <a:tailEnd type="none"/>
        </a:ln>
      </cdr:spPr>
      <cdr:txBody>
        <a:bodyPr vertOverflow="clip" wrap="square" anchor="ctr"/>
        <a:p>
          <a:pPr algn="l">
            <a:defRPr/>
          </a:pPr>
          <a:r>
            <a:rPr lang="en-US" cap="none" sz="1000" b="1" i="0" u="none" baseline="0">
              <a:latin typeface="Arial"/>
              <a:ea typeface="Arial"/>
              <a:cs typeface="Arial"/>
            </a:rPr>
            <a:t>S.1 = Scenario 1 (disposable boxes)
S.2 = Scenario 2 (240 L wheel bins)
S.3 = Scenario 3 (770 L wheel bins)
S.3a=Scenario 3a (660 L wheel bins)
S.4 = Scenario 4 (plastic boxes + cage-trolleys)
S.4a = Scenario 4a (plastic boxes)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53</xdr:row>
      <xdr:rowOff>104775</xdr:rowOff>
    </xdr:from>
    <xdr:to>
      <xdr:col>8</xdr:col>
      <xdr:colOff>885825</xdr:colOff>
      <xdr:row>87</xdr:row>
      <xdr:rowOff>47625</xdr:rowOff>
    </xdr:to>
    <xdr:graphicFrame>
      <xdr:nvGraphicFramePr>
        <xdr:cNvPr id="1" name="Chart 4"/>
        <xdr:cNvGraphicFramePr/>
      </xdr:nvGraphicFramePr>
      <xdr:xfrm>
        <a:off x="561975" y="16421100"/>
        <a:ext cx="7820025" cy="5448300"/>
      </xdr:xfrm>
      <a:graphic>
        <a:graphicData uri="http://schemas.openxmlformats.org/drawingml/2006/chart">
          <c:chart xmlns:c="http://schemas.openxmlformats.org/drawingml/2006/chart" r:id="rId1"/>
        </a:graphicData>
      </a:graphic>
    </xdr:graphicFrame>
    <xdr:clientData/>
  </xdr:twoCellAnchor>
  <xdr:twoCellAnchor>
    <xdr:from>
      <xdr:col>12</xdr:col>
      <xdr:colOff>419100</xdr:colOff>
      <xdr:row>53</xdr:row>
      <xdr:rowOff>76200</xdr:rowOff>
    </xdr:from>
    <xdr:to>
      <xdr:col>20</xdr:col>
      <xdr:colOff>304800</xdr:colOff>
      <xdr:row>87</xdr:row>
      <xdr:rowOff>38100</xdr:rowOff>
    </xdr:to>
    <xdr:graphicFrame>
      <xdr:nvGraphicFramePr>
        <xdr:cNvPr id="2" name="Chart 17"/>
        <xdr:cNvGraphicFramePr/>
      </xdr:nvGraphicFramePr>
      <xdr:xfrm>
        <a:off x="11753850" y="16392525"/>
        <a:ext cx="7553325" cy="5467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140</xdr:row>
      <xdr:rowOff>66675</xdr:rowOff>
    </xdr:from>
    <xdr:to>
      <xdr:col>6</xdr:col>
      <xdr:colOff>1057275</xdr:colOff>
      <xdr:row>163</xdr:row>
      <xdr:rowOff>76200</xdr:rowOff>
    </xdr:to>
    <xdr:graphicFrame>
      <xdr:nvGraphicFramePr>
        <xdr:cNvPr id="1" name="Chart 1"/>
        <xdr:cNvGraphicFramePr/>
      </xdr:nvGraphicFramePr>
      <xdr:xfrm>
        <a:off x="1790700" y="32651700"/>
        <a:ext cx="5248275" cy="3733800"/>
      </xdr:xfrm>
      <a:graphic>
        <a:graphicData uri="http://schemas.openxmlformats.org/drawingml/2006/chart">
          <c:chart xmlns:c="http://schemas.openxmlformats.org/drawingml/2006/chart" r:id="rId1"/>
        </a:graphicData>
      </a:graphic>
    </xdr:graphicFrame>
    <xdr:clientData/>
  </xdr:twoCellAnchor>
  <xdr:twoCellAnchor>
    <xdr:from>
      <xdr:col>7</xdr:col>
      <xdr:colOff>561975</xdr:colOff>
      <xdr:row>140</xdr:row>
      <xdr:rowOff>66675</xdr:rowOff>
    </xdr:from>
    <xdr:to>
      <xdr:col>12</xdr:col>
      <xdr:colOff>57150</xdr:colOff>
      <xdr:row>163</xdr:row>
      <xdr:rowOff>47625</xdr:rowOff>
    </xdr:to>
    <xdr:graphicFrame>
      <xdr:nvGraphicFramePr>
        <xdr:cNvPr id="2" name="Chart 2"/>
        <xdr:cNvGraphicFramePr/>
      </xdr:nvGraphicFramePr>
      <xdr:xfrm>
        <a:off x="7639050" y="32651700"/>
        <a:ext cx="5010150" cy="3705225"/>
      </xdr:xfrm>
      <a:graphic>
        <a:graphicData uri="http://schemas.openxmlformats.org/drawingml/2006/chart">
          <c:chart xmlns:c="http://schemas.openxmlformats.org/drawingml/2006/chart" r:id="rId2"/>
        </a:graphicData>
      </a:graphic>
    </xdr:graphicFrame>
    <xdr:clientData/>
  </xdr:twoCellAnchor>
  <xdr:twoCellAnchor>
    <xdr:from>
      <xdr:col>16</xdr:col>
      <xdr:colOff>561975</xdr:colOff>
      <xdr:row>140</xdr:row>
      <xdr:rowOff>66675</xdr:rowOff>
    </xdr:from>
    <xdr:to>
      <xdr:col>20</xdr:col>
      <xdr:colOff>552450</xdr:colOff>
      <xdr:row>163</xdr:row>
      <xdr:rowOff>47625</xdr:rowOff>
    </xdr:to>
    <xdr:graphicFrame>
      <xdr:nvGraphicFramePr>
        <xdr:cNvPr id="3" name="Chart 3"/>
        <xdr:cNvGraphicFramePr/>
      </xdr:nvGraphicFramePr>
      <xdr:xfrm>
        <a:off x="17735550" y="32651700"/>
        <a:ext cx="4467225" cy="37052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87</xdr:row>
      <xdr:rowOff>0</xdr:rowOff>
    </xdr:from>
    <xdr:to>
      <xdr:col>3</xdr:col>
      <xdr:colOff>342900</xdr:colOff>
      <xdr:row>88</xdr:row>
      <xdr:rowOff>0</xdr:rowOff>
    </xdr:to>
    <xdr:pic>
      <xdr:nvPicPr>
        <xdr:cNvPr id="4" name="SpinButton1"/>
        <xdr:cNvPicPr preferRelativeResize="1">
          <a:picLocks noChangeAspect="1"/>
        </xdr:cNvPicPr>
      </xdr:nvPicPr>
      <xdr:blipFill>
        <a:blip r:embed="rId4"/>
        <a:stretch>
          <a:fillRect/>
        </a:stretch>
      </xdr:blipFill>
      <xdr:spPr>
        <a:xfrm>
          <a:off x="2667000" y="18916650"/>
          <a:ext cx="342900" cy="561975"/>
        </a:xfrm>
        <a:prstGeom prst="rect">
          <a:avLst/>
        </a:prstGeom>
        <a:noFill/>
        <a:ln w="9525" cmpd="sng">
          <a:noFill/>
        </a:ln>
      </xdr:spPr>
    </xdr:pic>
    <xdr:clientData/>
  </xdr:twoCellAnchor>
  <xdr:twoCellAnchor>
    <xdr:from>
      <xdr:col>3</xdr:col>
      <xdr:colOff>9525</xdr:colOff>
      <xdr:row>101</xdr:row>
      <xdr:rowOff>9525</xdr:rowOff>
    </xdr:from>
    <xdr:to>
      <xdr:col>3</xdr:col>
      <xdr:colOff>381000</xdr:colOff>
      <xdr:row>102</xdr:row>
      <xdr:rowOff>9525</xdr:rowOff>
    </xdr:to>
    <xdr:pic>
      <xdr:nvPicPr>
        <xdr:cNvPr id="5" name="SpinButton3"/>
        <xdr:cNvPicPr preferRelativeResize="1">
          <a:picLocks noChangeAspect="1"/>
        </xdr:cNvPicPr>
      </xdr:nvPicPr>
      <xdr:blipFill>
        <a:blip r:embed="rId5"/>
        <a:stretch>
          <a:fillRect/>
        </a:stretch>
      </xdr:blipFill>
      <xdr:spPr>
        <a:xfrm>
          <a:off x="2676525" y="21974175"/>
          <a:ext cx="371475" cy="476250"/>
        </a:xfrm>
        <a:prstGeom prst="rect">
          <a:avLst/>
        </a:prstGeom>
        <a:noFill/>
        <a:ln w="9525" cmpd="sng">
          <a:noFill/>
        </a:ln>
      </xdr:spPr>
    </xdr:pic>
    <xdr:clientData/>
  </xdr:twoCellAnchor>
  <xdr:twoCellAnchor>
    <xdr:from>
      <xdr:col>4</xdr:col>
      <xdr:colOff>0</xdr:colOff>
      <xdr:row>8</xdr:row>
      <xdr:rowOff>9525</xdr:rowOff>
    </xdr:from>
    <xdr:to>
      <xdr:col>4</xdr:col>
      <xdr:colOff>247650</xdr:colOff>
      <xdr:row>10</xdr:row>
      <xdr:rowOff>0</xdr:rowOff>
    </xdr:to>
    <xdr:pic>
      <xdr:nvPicPr>
        <xdr:cNvPr id="6" name="SpinButton4"/>
        <xdr:cNvPicPr preferRelativeResize="1">
          <a:picLocks noChangeAspect="1"/>
        </xdr:cNvPicPr>
      </xdr:nvPicPr>
      <xdr:blipFill>
        <a:blip r:embed="rId6"/>
        <a:stretch>
          <a:fillRect/>
        </a:stretch>
      </xdr:blipFill>
      <xdr:spPr>
        <a:xfrm>
          <a:off x="3952875" y="2800350"/>
          <a:ext cx="247650" cy="323850"/>
        </a:xfrm>
        <a:prstGeom prst="rect">
          <a:avLst/>
        </a:prstGeom>
        <a:noFill/>
        <a:ln w="9525" cmpd="sng">
          <a:noFill/>
        </a:ln>
      </xdr:spPr>
    </xdr:pic>
    <xdr:clientData/>
  </xdr:twoCellAnchor>
  <xdr:twoCellAnchor editAs="oneCell">
    <xdr:from>
      <xdr:col>15</xdr:col>
      <xdr:colOff>0</xdr:colOff>
      <xdr:row>44</xdr:row>
      <xdr:rowOff>0</xdr:rowOff>
    </xdr:from>
    <xdr:to>
      <xdr:col>15</xdr:col>
      <xdr:colOff>266700</xdr:colOff>
      <xdr:row>45</xdr:row>
      <xdr:rowOff>0</xdr:rowOff>
    </xdr:to>
    <xdr:pic>
      <xdr:nvPicPr>
        <xdr:cNvPr id="7" name="SpinButton5"/>
        <xdr:cNvPicPr preferRelativeResize="1">
          <a:picLocks noChangeAspect="1"/>
        </xdr:cNvPicPr>
      </xdr:nvPicPr>
      <xdr:blipFill>
        <a:blip r:embed="rId7"/>
        <a:stretch>
          <a:fillRect/>
        </a:stretch>
      </xdr:blipFill>
      <xdr:spPr>
        <a:xfrm>
          <a:off x="15821025" y="8810625"/>
          <a:ext cx="266700" cy="323850"/>
        </a:xfrm>
        <a:prstGeom prst="rect">
          <a:avLst/>
        </a:prstGeom>
        <a:noFill/>
        <a:ln w="9525" cmpd="sng">
          <a:noFill/>
        </a:ln>
      </xdr:spPr>
    </xdr:pic>
    <xdr:clientData/>
  </xdr:twoCellAnchor>
  <xdr:twoCellAnchor>
    <xdr:from>
      <xdr:col>3</xdr:col>
      <xdr:colOff>0</xdr:colOff>
      <xdr:row>81</xdr:row>
      <xdr:rowOff>295275</xdr:rowOff>
    </xdr:from>
    <xdr:to>
      <xdr:col>3</xdr:col>
      <xdr:colOff>371475</xdr:colOff>
      <xdr:row>83</xdr:row>
      <xdr:rowOff>0</xdr:rowOff>
    </xdr:to>
    <xdr:pic>
      <xdr:nvPicPr>
        <xdr:cNvPr id="8" name="SpinButton2"/>
        <xdr:cNvPicPr preferRelativeResize="1">
          <a:picLocks noChangeAspect="1"/>
        </xdr:cNvPicPr>
      </xdr:nvPicPr>
      <xdr:blipFill>
        <a:blip r:embed="rId8"/>
        <a:stretch>
          <a:fillRect/>
        </a:stretch>
      </xdr:blipFill>
      <xdr:spPr>
        <a:xfrm>
          <a:off x="2667000" y="17468850"/>
          <a:ext cx="371475" cy="581025"/>
        </a:xfrm>
        <a:prstGeom prst="rect">
          <a:avLst/>
        </a:prstGeom>
        <a:noFill/>
        <a:ln w="9525" cmpd="sng">
          <a:noFill/>
        </a:ln>
      </xdr:spPr>
    </xdr:pic>
    <xdr:clientData/>
  </xdr:twoCellAnchor>
  <xdr:twoCellAnchor editAs="oneCell">
    <xdr:from>
      <xdr:col>3</xdr:col>
      <xdr:colOff>9525</xdr:colOff>
      <xdr:row>80</xdr:row>
      <xdr:rowOff>9525</xdr:rowOff>
    </xdr:from>
    <xdr:to>
      <xdr:col>3</xdr:col>
      <xdr:colOff>371475</xdr:colOff>
      <xdr:row>82</xdr:row>
      <xdr:rowOff>28575</xdr:rowOff>
    </xdr:to>
    <xdr:pic>
      <xdr:nvPicPr>
        <xdr:cNvPr id="9" name="SpinButton6"/>
        <xdr:cNvPicPr preferRelativeResize="1">
          <a:picLocks noChangeAspect="1"/>
        </xdr:cNvPicPr>
      </xdr:nvPicPr>
      <xdr:blipFill>
        <a:blip r:embed="rId9"/>
        <a:stretch>
          <a:fillRect/>
        </a:stretch>
      </xdr:blipFill>
      <xdr:spPr>
        <a:xfrm>
          <a:off x="2676525" y="16878300"/>
          <a:ext cx="361950" cy="628650"/>
        </a:xfrm>
        <a:prstGeom prst="rect">
          <a:avLst/>
        </a:prstGeom>
        <a:noFill/>
        <a:ln w="9525" cmpd="sng">
          <a:noFill/>
        </a:ln>
      </xdr:spPr>
    </xdr:pic>
    <xdr:clientData/>
  </xdr:twoCellAnchor>
  <xdr:twoCellAnchor>
    <xdr:from>
      <xdr:col>21</xdr:col>
      <xdr:colOff>104775</xdr:colOff>
      <xdr:row>140</xdr:row>
      <xdr:rowOff>66675</xdr:rowOff>
    </xdr:from>
    <xdr:to>
      <xdr:col>25</xdr:col>
      <xdr:colOff>57150</xdr:colOff>
      <xdr:row>163</xdr:row>
      <xdr:rowOff>47625</xdr:rowOff>
    </xdr:to>
    <xdr:graphicFrame>
      <xdr:nvGraphicFramePr>
        <xdr:cNvPr id="10" name="Chart 12"/>
        <xdr:cNvGraphicFramePr/>
      </xdr:nvGraphicFramePr>
      <xdr:xfrm>
        <a:off x="22307550" y="32651700"/>
        <a:ext cx="4181475" cy="3705225"/>
      </xdr:xfrm>
      <a:graphic>
        <a:graphicData uri="http://schemas.openxmlformats.org/drawingml/2006/chart">
          <c:chart xmlns:c="http://schemas.openxmlformats.org/drawingml/2006/chart" r:id="rId10"/>
        </a:graphicData>
      </a:graphic>
    </xdr:graphicFrame>
    <xdr:clientData/>
  </xdr:twoCellAnchor>
  <xdr:twoCellAnchor>
    <xdr:from>
      <xdr:col>3</xdr:col>
      <xdr:colOff>0</xdr:colOff>
      <xdr:row>88</xdr:row>
      <xdr:rowOff>9525</xdr:rowOff>
    </xdr:from>
    <xdr:to>
      <xdr:col>3</xdr:col>
      <xdr:colOff>342900</xdr:colOff>
      <xdr:row>89</xdr:row>
      <xdr:rowOff>0</xdr:rowOff>
    </xdr:to>
    <xdr:pic>
      <xdr:nvPicPr>
        <xdr:cNvPr id="11" name="SpinButton7"/>
        <xdr:cNvPicPr preferRelativeResize="1">
          <a:picLocks noChangeAspect="1"/>
        </xdr:cNvPicPr>
      </xdr:nvPicPr>
      <xdr:blipFill>
        <a:blip r:embed="rId11"/>
        <a:stretch>
          <a:fillRect/>
        </a:stretch>
      </xdr:blipFill>
      <xdr:spPr>
        <a:xfrm>
          <a:off x="2667000" y="19488150"/>
          <a:ext cx="342900" cy="552450"/>
        </a:xfrm>
        <a:prstGeom prst="rect">
          <a:avLst/>
        </a:prstGeom>
        <a:noFill/>
        <a:ln w="9525" cmpd="sng">
          <a:noFill/>
        </a:ln>
      </xdr:spPr>
    </xdr:pic>
    <xdr:clientData/>
  </xdr:twoCellAnchor>
  <xdr:twoCellAnchor>
    <xdr:from>
      <xdr:col>3</xdr:col>
      <xdr:colOff>0</xdr:colOff>
      <xdr:row>77</xdr:row>
      <xdr:rowOff>314325</xdr:rowOff>
    </xdr:from>
    <xdr:to>
      <xdr:col>3</xdr:col>
      <xdr:colOff>371475</xdr:colOff>
      <xdr:row>79</xdr:row>
      <xdr:rowOff>0</xdr:rowOff>
    </xdr:to>
    <xdr:pic>
      <xdr:nvPicPr>
        <xdr:cNvPr id="12" name="SpinButton8"/>
        <xdr:cNvPicPr preferRelativeResize="1">
          <a:picLocks noChangeAspect="1"/>
        </xdr:cNvPicPr>
      </xdr:nvPicPr>
      <xdr:blipFill>
        <a:blip r:embed="rId12"/>
        <a:stretch>
          <a:fillRect/>
        </a:stretch>
      </xdr:blipFill>
      <xdr:spPr>
        <a:xfrm>
          <a:off x="2667000" y="15678150"/>
          <a:ext cx="371475" cy="600075"/>
        </a:xfrm>
        <a:prstGeom prst="rect">
          <a:avLst/>
        </a:prstGeom>
        <a:noFill/>
        <a:ln w="9525" cmpd="sng">
          <a:noFill/>
        </a:ln>
      </xdr:spPr>
    </xdr:pic>
    <xdr:clientData/>
  </xdr:twoCellAnchor>
  <xdr:twoCellAnchor>
    <xdr:from>
      <xdr:col>3</xdr:col>
      <xdr:colOff>0</xdr:colOff>
      <xdr:row>79</xdr:row>
      <xdr:rowOff>9525</xdr:rowOff>
    </xdr:from>
    <xdr:to>
      <xdr:col>3</xdr:col>
      <xdr:colOff>371475</xdr:colOff>
      <xdr:row>80</xdr:row>
      <xdr:rowOff>0</xdr:rowOff>
    </xdr:to>
    <xdr:pic>
      <xdr:nvPicPr>
        <xdr:cNvPr id="13" name="SpinButton9"/>
        <xdr:cNvPicPr preferRelativeResize="1">
          <a:picLocks noChangeAspect="1"/>
        </xdr:cNvPicPr>
      </xdr:nvPicPr>
      <xdr:blipFill>
        <a:blip r:embed="rId8"/>
        <a:stretch>
          <a:fillRect/>
        </a:stretch>
      </xdr:blipFill>
      <xdr:spPr>
        <a:xfrm>
          <a:off x="2667000" y="16287750"/>
          <a:ext cx="371475" cy="581025"/>
        </a:xfrm>
        <a:prstGeom prst="rect">
          <a:avLst/>
        </a:prstGeom>
        <a:noFill/>
        <a:ln w="9525" cmpd="sng">
          <a:noFill/>
        </a:ln>
      </xdr:spPr>
    </xdr:pic>
    <xdr:clientData/>
  </xdr:twoCellAnchor>
  <xdr:twoCellAnchor>
    <xdr:from>
      <xdr:col>8</xdr:col>
      <xdr:colOff>352425</xdr:colOff>
      <xdr:row>167</xdr:row>
      <xdr:rowOff>76200</xdr:rowOff>
    </xdr:from>
    <xdr:to>
      <xdr:col>15</xdr:col>
      <xdr:colOff>409575</xdr:colOff>
      <xdr:row>204</xdr:row>
      <xdr:rowOff>142875</xdr:rowOff>
    </xdr:to>
    <xdr:graphicFrame>
      <xdr:nvGraphicFramePr>
        <xdr:cNvPr id="14" name="Chart 290"/>
        <xdr:cNvGraphicFramePr/>
      </xdr:nvGraphicFramePr>
      <xdr:xfrm>
        <a:off x="8067675" y="37033200"/>
        <a:ext cx="8162925" cy="6057900"/>
      </xdr:xfrm>
      <a:graphic>
        <a:graphicData uri="http://schemas.openxmlformats.org/drawingml/2006/chart">
          <c:chart xmlns:c="http://schemas.openxmlformats.org/drawingml/2006/chart" r:id="rId13"/>
        </a:graphicData>
      </a:graphic>
    </xdr:graphicFrame>
    <xdr:clientData/>
  </xdr:twoCellAnchor>
  <xdr:twoCellAnchor>
    <xdr:from>
      <xdr:col>12</xdr:col>
      <xdr:colOff>257175</xdr:colOff>
      <xdr:row>140</xdr:row>
      <xdr:rowOff>66675</xdr:rowOff>
    </xdr:from>
    <xdr:to>
      <xdr:col>16</xdr:col>
      <xdr:colOff>314325</xdr:colOff>
      <xdr:row>163</xdr:row>
      <xdr:rowOff>47625</xdr:rowOff>
    </xdr:to>
    <xdr:graphicFrame>
      <xdr:nvGraphicFramePr>
        <xdr:cNvPr id="15" name="Chart 421"/>
        <xdr:cNvGraphicFramePr/>
      </xdr:nvGraphicFramePr>
      <xdr:xfrm>
        <a:off x="12849225" y="32651700"/>
        <a:ext cx="4638675" cy="3705225"/>
      </xdr:xfrm>
      <a:graphic>
        <a:graphicData uri="http://schemas.openxmlformats.org/drawingml/2006/chart">
          <c:chart xmlns:c="http://schemas.openxmlformats.org/drawingml/2006/chart" r:id="rId14"/>
        </a:graphicData>
      </a:graphic>
    </xdr:graphicFrame>
    <xdr:clientData/>
  </xdr:twoCellAnchor>
  <xdr:twoCellAnchor>
    <xdr:from>
      <xdr:col>25</xdr:col>
      <xdr:colOff>180975</xdr:colOff>
      <xdr:row>140</xdr:row>
      <xdr:rowOff>66675</xdr:rowOff>
    </xdr:from>
    <xdr:to>
      <xdr:col>29</xdr:col>
      <xdr:colOff>171450</xdr:colOff>
      <xdr:row>163</xdr:row>
      <xdr:rowOff>47625</xdr:rowOff>
    </xdr:to>
    <xdr:graphicFrame>
      <xdr:nvGraphicFramePr>
        <xdr:cNvPr id="16" name="Chart 545"/>
        <xdr:cNvGraphicFramePr/>
      </xdr:nvGraphicFramePr>
      <xdr:xfrm>
        <a:off x="26612850" y="32651700"/>
        <a:ext cx="4181475" cy="3705225"/>
      </xdr:xfrm>
      <a:graphic>
        <a:graphicData uri="http://schemas.openxmlformats.org/drawingml/2006/chart">
          <c:chart xmlns:c="http://schemas.openxmlformats.org/drawingml/2006/chart" r:id="rId1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141</xdr:row>
      <xdr:rowOff>47625</xdr:rowOff>
    </xdr:from>
    <xdr:to>
      <xdr:col>6</xdr:col>
      <xdr:colOff>1009650</xdr:colOff>
      <xdr:row>163</xdr:row>
      <xdr:rowOff>104775</xdr:rowOff>
    </xdr:to>
    <xdr:graphicFrame>
      <xdr:nvGraphicFramePr>
        <xdr:cNvPr id="1" name="Chart 4"/>
        <xdr:cNvGraphicFramePr/>
      </xdr:nvGraphicFramePr>
      <xdr:xfrm>
        <a:off x="2133600" y="32870775"/>
        <a:ext cx="4552950" cy="3619500"/>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141</xdr:row>
      <xdr:rowOff>38100</xdr:rowOff>
    </xdr:from>
    <xdr:to>
      <xdr:col>12</xdr:col>
      <xdr:colOff>104775</xdr:colOff>
      <xdr:row>163</xdr:row>
      <xdr:rowOff>114300</xdr:rowOff>
    </xdr:to>
    <xdr:graphicFrame>
      <xdr:nvGraphicFramePr>
        <xdr:cNvPr id="2" name="Chart 5"/>
        <xdr:cNvGraphicFramePr/>
      </xdr:nvGraphicFramePr>
      <xdr:xfrm>
        <a:off x="6877050" y="32861250"/>
        <a:ext cx="5010150" cy="3638550"/>
      </xdr:xfrm>
      <a:graphic>
        <a:graphicData uri="http://schemas.openxmlformats.org/drawingml/2006/chart">
          <c:chart xmlns:c="http://schemas.openxmlformats.org/drawingml/2006/chart" r:id="rId2"/>
        </a:graphicData>
      </a:graphic>
    </xdr:graphicFrame>
    <xdr:clientData/>
  </xdr:twoCellAnchor>
  <xdr:twoCellAnchor>
    <xdr:from>
      <xdr:col>12</xdr:col>
      <xdr:colOff>228600</xdr:colOff>
      <xdr:row>141</xdr:row>
      <xdr:rowOff>38100</xdr:rowOff>
    </xdr:from>
    <xdr:to>
      <xdr:col>16</xdr:col>
      <xdr:colOff>314325</xdr:colOff>
      <xdr:row>163</xdr:row>
      <xdr:rowOff>114300</xdr:rowOff>
    </xdr:to>
    <xdr:graphicFrame>
      <xdr:nvGraphicFramePr>
        <xdr:cNvPr id="3" name="Chart 6"/>
        <xdr:cNvGraphicFramePr/>
      </xdr:nvGraphicFramePr>
      <xdr:xfrm>
        <a:off x="12011025" y="32861250"/>
        <a:ext cx="4648200" cy="3638550"/>
      </xdr:xfrm>
      <a:graphic>
        <a:graphicData uri="http://schemas.openxmlformats.org/drawingml/2006/chart">
          <c:chart xmlns:c="http://schemas.openxmlformats.org/drawingml/2006/chart" r:id="rId3"/>
        </a:graphicData>
      </a:graphic>
    </xdr:graphicFrame>
    <xdr:clientData/>
  </xdr:twoCellAnchor>
  <xdr:twoCellAnchor>
    <xdr:from>
      <xdr:col>20</xdr:col>
      <xdr:colOff>409575</xdr:colOff>
      <xdr:row>141</xdr:row>
      <xdr:rowOff>28575</xdr:rowOff>
    </xdr:from>
    <xdr:to>
      <xdr:col>25</xdr:col>
      <xdr:colOff>28575</xdr:colOff>
      <xdr:row>163</xdr:row>
      <xdr:rowOff>123825</xdr:rowOff>
    </xdr:to>
    <xdr:graphicFrame>
      <xdr:nvGraphicFramePr>
        <xdr:cNvPr id="4" name="Chart 7"/>
        <xdr:cNvGraphicFramePr/>
      </xdr:nvGraphicFramePr>
      <xdr:xfrm>
        <a:off x="21669375" y="32851725"/>
        <a:ext cx="4314825" cy="3657600"/>
      </xdr:xfrm>
      <a:graphic>
        <a:graphicData uri="http://schemas.openxmlformats.org/drawingml/2006/chart">
          <c:chart xmlns:c="http://schemas.openxmlformats.org/drawingml/2006/chart" r:id="rId4"/>
        </a:graphicData>
      </a:graphic>
    </xdr:graphicFrame>
    <xdr:clientData/>
  </xdr:twoCellAnchor>
  <xdr:twoCellAnchor>
    <xdr:from>
      <xdr:col>8</xdr:col>
      <xdr:colOff>495300</xdr:colOff>
      <xdr:row>166</xdr:row>
      <xdr:rowOff>123825</xdr:rowOff>
    </xdr:from>
    <xdr:to>
      <xdr:col>15</xdr:col>
      <xdr:colOff>352425</xdr:colOff>
      <xdr:row>204</xdr:row>
      <xdr:rowOff>38100</xdr:rowOff>
    </xdr:to>
    <xdr:graphicFrame>
      <xdr:nvGraphicFramePr>
        <xdr:cNvPr id="5" name="Chart 38"/>
        <xdr:cNvGraphicFramePr/>
      </xdr:nvGraphicFramePr>
      <xdr:xfrm>
        <a:off x="7524750" y="36995100"/>
        <a:ext cx="7848600" cy="6067425"/>
      </xdr:xfrm>
      <a:graphic>
        <a:graphicData uri="http://schemas.openxmlformats.org/drawingml/2006/chart">
          <c:chart xmlns:c="http://schemas.openxmlformats.org/drawingml/2006/chart" r:id="rId5"/>
        </a:graphicData>
      </a:graphic>
    </xdr:graphicFrame>
    <xdr:clientData/>
  </xdr:twoCellAnchor>
  <xdr:twoCellAnchor>
    <xdr:from>
      <xdr:col>16</xdr:col>
      <xdr:colOff>561975</xdr:colOff>
      <xdr:row>141</xdr:row>
      <xdr:rowOff>9525</xdr:rowOff>
    </xdr:from>
    <xdr:to>
      <xdr:col>20</xdr:col>
      <xdr:colOff>295275</xdr:colOff>
      <xdr:row>163</xdr:row>
      <xdr:rowOff>85725</xdr:rowOff>
    </xdr:to>
    <xdr:graphicFrame>
      <xdr:nvGraphicFramePr>
        <xdr:cNvPr id="6" name="Chart 125"/>
        <xdr:cNvGraphicFramePr/>
      </xdr:nvGraphicFramePr>
      <xdr:xfrm>
        <a:off x="16906875" y="32832675"/>
        <a:ext cx="4648200" cy="3638550"/>
      </xdr:xfrm>
      <a:graphic>
        <a:graphicData uri="http://schemas.openxmlformats.org/drawingml/2006/chart">
          <c:chart xmlns:c="http://schemas.openxmlformats.org/drawingml/2006/chart" r:id="rId6"/>
        </a:graphicData>
      </a:graphic>
    </xdr:graphicFrame>
    <xdr:clientData/>
  </xdr:twoCellAnchor>
  <xdr:twoCellAnchor>
    <xdr:from>
      <xdr:col>25</xdr:col>
      <xdr:colOff>161925</xdr:colOff>
      <xdr:row>141</xdr:row>
      <xdr:rowOff>28575</xdr:rowOff>
    </xdr:from>
    <xdr:to>
      <xdr:col>29</xdr:col>
      <xdr:colOff>123825</xdr:colOff>
      <xdr:row>163</xdr:row>
      <xdr:rowOff>123825</xdr:rowOff>
    </xdr:to>
    <xdr:graphicFrame>
      <xdr:nvGraphicFramePr>
        <xdr:cNvPr id="7" name="Chart 132"/>
        <xdr:cNvGraphicFramePr/>
      </xdr:nvGraphicFramePr>
      <xdr:xfrm>
        <a:off x="26117550" y="32851725"/>
        <a:ext cx="4152900" cy="3657600"/>
      </xdr:xfrm>
      <a:graphic>
        <a:graphicData uri="http://schemas.openxmlformats.org/drawingml/2006/chart">
          <c:chart xmlns:c="http://schemas.openxmlformats.org/drawingml/2006/chart" r:id="rId7"/>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82</xdr:row>
      <xdr:rowOff>276225</xdr:rowOff>
    </xdr:from>
    <xdr:to>
      <xdr:col>3</xdr:col>
      <xdr:colOff>333375</xdr:colOff>
      <xdr:row>84</xdr:row>
      <xdr:rowOff>28575</xdr:rowOff>
    </xdr:to>
    <xdr:pic>
      <xdr:nvPicPr>
        <xdr:cNvPr id="1" name="SpinButton1"/>
        <xdr:cNvPicPr preferRelativeResize="1">
          <a:picLocks noChangeAspect="1"/>
        </xdr:cNvPicPr>
      </xdr:nvPicPr>
      <xdr:blipFill>
        <a:blip r:embed="rId1"/>
        <a:stretch>
          <a:fillRect/>
        </a:stretch>
      </xdr:blipFill>
      <xdr:spPr>
        <a:xfrm>
          <a:off x="3724275" y="14992350"/>
          <a:ext cx="323850" cy="419100"/>
        </a:xfrm>
        <a:prstGeom prst="rect">
          <a:avLst/>
        </a:prstGeom>
        <a:solidFill>
          <a:srgbClr val="FFFFFF"/>
        </a:solidFill>
        <a:ln w="1" cmpd="sng">
          <a:noFill/>
        </a:ln>
      </xdr:spPr>
    </xdr:pic>
    <xdr:clientData/>
  </xdr:twoCellAnchor>
  <xdr:twoCellAnchor>
    <xdr:from>
      <xdr:col>4</xdr:col>
      <xdr:colOff>9525</xdr:colOff>
      <xdr:row>101</xdr:row>
      <xdr:rowOff>304800</xdr:rowOff>
    </xdr:from>
    <xdr:to>
      <xdr:col>4</xdr:col>
      <xdr:colOff>333375</xdr:colOff>
      <xdr:row>103</xdr:row>
      <xdr:rowOff>9525</xdr:rowOff>
    </xdr:to>
    <xdr:pic>
      <xdr:nvPicPr>
        <xdr:cNvPr id="2" name="SpinButton2"/>
        <xdr:cNvPicPr preferRelativeResize="1">
          <a:picLocks noChangeAspect="1"/>
        </xdr:cNvPicPr>
      </xdr:nvPicPr>
      <xdr:blipFill>
        <a:blip r:embed="rId2"/>
        <a:stretch>
          <a:fillRect/>
        </a:stretch>
      </xdr:blipFill>
      <xdr:spPr>
        <a:xfrm>
          <a:off x="4905375" y="18707100"/>
          <a:ext cx="323850" cy="400050"/>
        </a:xfrm>
        <a:prstGeom prst="rect">
          <a:avLst/>
        </a:prstGeom>
        <a:solidFill>
          <a:srgbClr val="FFFFFF"/>
        </a:solidFill>
        <a:ln w="1" cmpd="sng">
          <a:noFill/>
        </a:ln>
      </xdr:spPr>
    </xdr:pic>
    <xdr:clientData/>
  </xdr:twoCellAnchor>
  <xdr:twoCellAnchor>
    <xdr:from>
      <xdr:col>2</xdr:col>
      <xdr:colOff>209550</xdr:colOff>
      <xdr:row>147</xdr:row>
      <xdr:rowOff>9525</xdr:rowOff>
    </xdr:from>
    <xdr:to>
      <xdr:col>2</xdr:col>
      <xdr:colOff>866775</xdr:colOff>
      <xdr:row>148</xdr:row>
      <xdr:rowOff>0</xdr:rowOff>
    </xdr:to>
    <xdr:pic>
      <xdr:nvPicPr>
        <xdr:cNvPr id="3" name="SpinButton3"/>
        <xdr:cNvPicPr preferRelativeResize="1">
          <a:picLocks noChangeAspect="1"/>
        </xdr:cNvPicPr>
      </xdr:nvPicPr>
      <xdr:blipFill>
        <a:blip r:embed="rId3"/>
        <a:stretch>
          <a:fillRect/>
        </a:stretch>
      </xdr:blipFill>
      <xdr:spPr>
        <a:xfrm>
          <a:off x="2714625" y="26841450"/>
          <a:ext cx="657225" cy="266700"/>
        </a:xfrm>
        <a:prstGeom prst="rect">
          <a:avLst/>
        </a:prstGeom>
        <a:noFill/>
        <a:ln w="9525" cmpd="sng">
          <a:noFill/>
        </a:ln>
      </xdr:spPr>
    </xdr:pic>
    <xdr:clientData/>
  </xdr:twoCellAnchor>
  <xdr:twoCellAnchor>
    <xdr:from>
      <xdr:col>3</xdr:col>
      <xdr:colOff>266700</xdr:colOff>
      <xdr:row>46</xdr:row>
      <xdr:rowOff>0</xdr:rowOff>
    </xdr:from>
    <xdr:to>
      <xdr:col>3</xdr:col>
      <xdr:colOff>742950</xdr:colOff>
      <xdr:row>47</xdr:row>
      <xdr:rowOff>0</xdr:rowOff>
    </xdr:to>
    <xdr:pic>
      <xdr:nvPicPr>
        <xdr:cNvPr id="4" name="SpinButton4"/>
        <xdr:cNvPicPr preferRelativeResize="1">
          <a:picLocks noChangeAspect="1"/>
        </xdr:cNvPicPr>
      </xdr:nvPicPr>
      <xdr:blipFill>
        <a:blip r:embed="rId4"/>
        <a:stretch>
          <a:fillRect/>
        </a:stretch>
      </xdr:blipFill>
      <xdr:spPr>
        <a:xfrm>
          <a:off x="3981450" y="8172450"/>
          <a:ext cx="476250" cy="219075"/>
        </a:xfrm>
        <a:prstGeom prst="rect">
          <a:avLst/>
        </a:prstGeom>
        <a:noFill/>
        <a:ln w="9525" cmpd="sng">
          <a:noFill/>
        </a:ln>
      </xdr:spPr>
    </xdr:pic>
    <xdr:clientData/>
  </xdr:twoCellAnchor>
  <xdr:twoCellAnchor>
    <xdr:from>
      <xdr:col>11</xdr:col>
      <xdr:colOff>66675</xdr:colOff>
      <xdr:row>101</xdr:row>
      <xdr:rowOff>9525</xdr:rowOff>
    </xdr:from>
    <xdr:to>
      <xdr:col>11</xdr:col>
      <xdr:colOff>695325</xdr:colOff>
      <xdr:row>102</xdr:row>
      <xdr:rowOff>9525</xdr:rowOff>
    </xdr:to>
    <xdr:pic>
      <xdr:nvPicPr>
        <xdr:cNvPr id="5" name="SpinButton5"/>
        <xdr:cNvPicPr preferRelativeResize="1">
          <a:picLocks noChangeAspect="1"/>
        </xdr:cNvPicPr>
      </xdr:nvPicPr>
      <xdr:blipFill>
        <a:blip r:embed="rId5"/>
        <a:stretch>
          <a:fillRect/>
        </a:stretch>
      </xdr:blipFill>
      <xdr:spPr>
        <a:xfrm>
          <a:off x="10915650" y="18411825"/>
          <a:ext cx="628650" cy="314325"/>
        </a:xfrm>
        <a:prstGeom prst="rect">
          <a:avLst/>
        </a:prstGeom>
        <a:noFill/>
        <a:ln w="9525" cmpd="sng">
          <a:noFill/>
        </a:ln>
      </xdr:spPr>
    </xdr:pic>
    <xdr:clientData/>
  </xdr:twoCellAnchor>
  <xdr:twoCellAnchor>
    <xdr:from>
      <xdr:col>12</xdr:col>
      <xdr:colOff>600075</xdr:colOff>
      <xdr:row>81</xdr:row>
      <xdr:rowOff>180975</xdr:rowOff>
    </xdr:from>
    <xdr:to>
      <xdr:col>16</xdr:col>
      <xdr:colOff>66675</xdr:colOff>
      <xdr:row>93</xdr:row>
      <xdr:rowOff>28575</xdr:rowOff>
    </xdr:to>
    <xdr:sp>
      <xdr:nvSpPr>
        <xdr:cNvPr id="6" name="AutoShape 16"/>
        <xdr:cNvSpPr>
          <a:spLocks/>
        </xdr:cNvSpPr>
      </xdr:nvSpPr>
      <xdr:spPr>
        <a:xfrm>
          <a:off x="12392025" y="14697075"/>
          <a:ext cx="1905000" cy="2228850"/>
        </a:xfrm>
        <a:prstGeom prst="wedgeRoundRectCallout">
          <a:avLst>
            <a:gd name="adj1" fmla="val -62000"/>
            <a:gd name="adj2" fmla="val 79532"/>
          </a:avLst>
        </a:prstGeom>
        <a:solidFill>
          <a:srgbClr val="FF99CC"/>
        </a:solidFill>
        <a:ln w="12700"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'Basic'  times are carried from  the sheet: "Load &amp; Unload Times". Per-unit times (for w/bin options) are adjusted by the 'spin' button below</a:t>
          </a:r>
        </a:p>
      </xdr:txBody>
    </xdr:sp>
    <xdr:clientData/>
  </xdr:twoCellAnchor>
  <xdr:twoCellAnchor>
    <xdr:from>
      <xdr:col>12</xdr:col>
      <xdr:colOff>123825</xdr:colOff>
      <xdr:row>94</xdr:row>
      <xdr:rowOff>28575</xdr:rowOff>
    </xdr:from>
    <xdr:to>
      <xdr:col>12</xdr:col>
      <xdr:colOff>295275</xdr:colOff>
      <xdr:row>98</xdr:row>
      <xdr:rowOff>142875</xdr:rowOff>
    </xdr:to>
    <xdr:sp>
      <xdr:nvSpPr>
        <xdr:cNvPr id="7" name="AutoShape 17"/>
        <xdr:cNvSpPr>
          <a:spLocks/>
        </xdr:cNvSpPr>
      </xdr:nvSpPr>
      <xdr:spPr>
        <a:xfrm>
          <a:off x="11915775" y="17164050"/>
          <a:ext cx="171450" cy="762000"/>
        </a:xfrm>
        <a:prstGeom prst="rightBracke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61</xdr:row>
      <xdr:rowOff>152400</xdr:rowOff>
    </xdr:from>
    <xdr:to>
      <xdr:col>8</xdr:col>
      <xdr:colOff>161925</xdr:colOff>
      <xdr:row>66</xdr:row>
      <xdr:rowOff>95250</xdr:rowOff>
    </xdr:to>
    <xdr:sp>
      <xdr:nvSpPr>
        <xdr:cNvPr id="8" name="AutoShape 18"/>
        <xdr:cNvSpPr>
          <a:spLocks/>
        </xdr:cNvSpPr>
      </xdr:nvSpPr>
      <xdr:spPr>
        <a:xfrm>
          <a:off x="7143750" y="11239500"/>
          <a:ext cx="1685925" cy="819150"/>
        </a:xfrm>
        <a:prstGeom prst="wedgeRoundRectCallout">
          <a:avLst>
            <a:gd name="adj1" fmla="val -183583"/>
            <a:gd name="adj2" fmla="val -146967"/>
          </a:avLst>
        </a:prstGeom>
        <a:solidFill>
          <a:srgbClr val="FF99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Diesel Price is set in cell Q16 of 'Scenario Costs: All Facilities' sheet.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xdr:row>
      <xdr:rowOff>123825</xdr:rowOff>
    </xdr:from>
    <xdr:to>
      <xdr:col>11</xdr:col>
      <xdr:colOff>304800</xdr:colOff>
      <xdr:row>30</xdr:row>
      <xdr:rowOff>57150</xdr:rowOff>
    </xdr:to>
    <xdr:sp>
      <xdr:nvSpPr>
        <xdr:cNvPr id="1" name="TextBox 2"/>
        <xdr:cNvSpPr txBox="1">
          <a:spLocks noChangeArrowheads="1"/>
        </xdr:cNvSpPr>
      </xdr:nvSpPr>
      <xdr:spPr>
        <a:xfrm>
          <a:off x="666750" y="1019175"/>
          <a:ext cx="8715375" cy="427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Average round-trip distance is a function of the number and location of treatment facilities.</a:t>
          </a:r>
          <a:r>
            <a:rPr lang="en-US" cap="none" sz="1000" b="0" i="0" u="none" baseline="0">
              <a:latin typeface="Arial"/>
              <a:ea typeface="Arial"/>
              <a:cs typeface="Arial"/>
            </a:rPr>
            <a:t>
In the case of Gauteng, the X-Y co-ordinates of all hospitals (provincial and private) were determined during the 2000 DACEL Health Care Risk Waste Study. This allowed the straight-line distance between each hospital and any number of points representing treatment facilities to be determined. In the present model, it was assumed that HCRW would be transported from </a:t>
          </a:r>
          <a:r>
            <a:rPr lang="en-US" cap="none" sz="1000" b="1" i="0" u="none" baseline="0">
              <a:latin typeface="Arial"/>
              <a:ea typeface="Arial"/>
              <a:cs typeface="Arial"/>
            </a:rPr>
            <a:t>each hospital</a:t>
          </a:r>
          <a:r>
            <a:rPr lang="en-US" cap="none" sz="1000" b="0" i="0" u="none" baseline="0">
              <a:latin typeface="Arial"/>
              <a:ea typeface="Arial"/>
              <a:cs typeface="Arial"/>
            </a:rPr>
            <a:t> to the </a:t>
          </a:r>
          <a:r>
            <a:rPr lang="en-US" cap="none" sz="1000" b="1" i="0" u="none" baseline="0">
              <a:latin typeface="Arial"/>
              <a:ea typeface="Arial"/>
              <a:cs typeface="Arial"/>
            </a:rPr>
            <a:t>nearest</a:t>
          </a:r>
          <a:r>
            <a:rPr lang="en-US" cap="none" sz="1000" b="0" i="0" u="none" baseline="0">
              <a:latin typeface="Arial"/>
              <a:ea typeface="Arial"/>
              <a:cs typeface="Arial"/>
            </a:rPr>
            <a:t> treatment facility; the road distance to this facility was taken to be 1.3 x times the straight-line distance. (This factor is based on the results of a study performed in the US.) From the road distances between </a:t>
          </a:r>
          <a:r>
            <a:rPr lang="en-US" cap="none" sz="1000" b="1" i="0" u="none" baseline="0">
              <a:latin typeface="Arial"/>
              <a:ea typeface="Arial"/>
              <a:cs typeface="Arial"/>
            </a:rPr>
            <a:t>all</a:t>
          </a:r>
          <a:r>
            <a:rPr lang="en-US" cap="none" sz="1000" b="0" i="0" u="none" baseline="0">
              <a:latin typeface="Arial"/>
              <a:ea typeface="Arial"/>
              <a:cs typeface="Arial"/>
            </a:rPr>
            <a:t> hospitals and the </a:t>
          </a:r>
          <a:r>
            <a:rPr lang="en-US" cap="none" sz="1000" b="1" i="0" u="none" baseline="0">
              <a:latin typeface="Arial"/>
              <a:ea typeface="Arial"/>
              <a:cs typeface="Arial"/>
            </a:rPr>
            <a:t>nearest</a:t>
          </a:r>
          <a:r>
            <a:rPr lang="en-US" cap="none" sz="1000" b="0" i="0" u="none" baseline="0">
              <a:latin typeface="Arial"/>
              <a:ea typeface="Arial"/>
              <a:cs typeface="Arial"/>
            </a:rPr>
            <a:t> treatment facility, an </a:t>
          </a:r>
          <a:r>
            <a:rPr lang="en-US" cap="none" sz="1000" b="1" i="0" u="none" baseline="0">
              <a:latin typeface="Arial"/>
              <a:ea typeface="Arial"/>
              <a:cs typeface="Arial"/>
            </a:rPr>
            <a:t>average road distance</a:t>
          </a:r>
          <a:r>
            <a:rPr lang="en-US" cap="none" sz="1000" b="0" i="0" u="none" baseline="0">
              <a:latin typeface="Arial"/>
              <a:ea typeface="Arial"/>
              <a:cs typeface="Arial"/>
            </a:rPr>
            <a:t>, and hence an </a:t>
          </a:r>
          <a:r>
            <a:rPr lang="en-US" cap="none" sz="1000" b="1" i="0" u="none" baseline="0">
              <a:latin typeface="Arial"/>
              <a:ea typeface="Arial"/>
              <a:cs typeface="Arial"/>
            </a:rPr>
            <a:t>average round-trip distance ("RTD")</a:t>
          </a:r>
          <a:r>
            <a:rPr lang="en-US" cap="none" sz="1000" b="0" i="0" u="none" baseline="0">
              <a:latin typeface="Arial"/>
              <a:ea typeface="Arial"/>
              <a:cs typeface="Arial"/>
            </a:rPr>
            <a:t>, could be determined.
For the purposes of the present model, the number of treatment facilities considered was </a:t>
          </a:r>
          <a:r>
            <a:rPr lang="en-US" cap="none" sz="1000" b="1" i="0" u="none" baseline="0">
              <a:latin typeface="Arial"/>
              <a:ea typeface="Arial"/>
              <a:cs typeface="Arial"/>
            </a:rPr>
            <a:t>one, three, ten</a:t>
          </a:r>
          <a:r>
            <a:rPr lang="en-US" cap="none" sz="1000" b="0" i="0" u="none" baseline="0">
              <a:latin typeface="Arial"/>
              <a:ea typeface="Arial"/>
              <a:cs typeface="Arial"/>
            </a:rPr>
            <a:t> and </a:t>
          </a:r>
          <a:r>
            <a:rPr lang="en-US" cap="none" sz="1000" b="1" i="0" u="none" baseline="0">
              <a:latin typeface="Arial"/>
              <a:ea typeface="Arial"/>
              <a:cs typeface="Arial"/>
            </a:rPr>
            <a:t>twenty</a:t>
          </a:r>
          <a:r>
            <a:rPr lang="en-US" cap="none" sz="1000" b="0" i="0" u="none" baseline="0">
              <a:latin typeface="Arial"/>
              <a:ea typeface="Arial"/>
              <a:cs typeface="Arial"/>
            </a:rPr>
            <a:t>. In the case of just one facility, this was positioned at the ‘centre of gravity’ of all the hospitals in the province. In the case of three, ten and twenty facilities, these were positioned at the largest (as measured in terms of HCRW generation) three, ten and twenty hospitals, respectively. 
</a:t>
          </a:r>
          <a:r>
            <a:rPr lang="en-US" cap="none" sz="1000" b="1" i="0" u="none" baseline="0">
              <a:latin typeface="Arial"/>
              <a:ea typeface="Arial"/>
              <a:cs typeface="Arial"/>
            </a:rPr>
            <a:t>Note:</a:t>
          </a:r>
          <a:r>
            <a:rPr lang="en-US" cap="none" sz="1000" b="0" i="0" u="none" baseline="0">
              <a:latin typeface="Arial"/>
              <a:ea typeface="Arial"/>
              <a:cs typeface="Arial"/>
            </a:rPr>
            <a:t> The treatment facility locations assumed here serve to illustrate the effect of centralising vs. decentralising the treatment of HCRW in the province, and do not necessarily represent practical locations for such facilities. 
Based on all the above, average round-trip distances for Gauteng were determined as follows:
One facility:  80 kilometres
Three facilities: 57 kilometres
Ten facilities:  28 kilometres
Twenty facilities: 15 kilometres
A graph of the above results is presented below. Note that a logarithmic curve (see equation in box) fits the data well. (The "R-squared" value indicates the "goodness-of-fit" of the curve to the data points. An R-squared value of 1.000 would indicate a 'perfect' fit.)
</a:t>
          </a:r>
        </a:p>
      </xdr:txBody>
    </xdr:sp>
    <xdr:clientData/>
  </xdr:twoCellAnchor>
  <xdr:twoCellAnchor editAs="oneCell">
    <xdr:from>
      <xdr:col>3</xdr:col>
      <xdr:colOff>352425</xdr:colOff>
      <xdr:row>31</xdr:row>
      <xdr:rowOff>47625</xdr:rowOff>
    </xdr:from>
    <xdr:to>
      <xdr:col>9</xdr:col>
      <xdr:colOff>438150</xdr:colOff>
      <xdr:row>56</xdr:row>
      <xdr:rowOff>85725</xdr:rowOff>
    </xdr:to>
    <xdr:pic>
      <xdr:nvPicPr>
        <xdr:cNvPr id="2" name="Picture 3"/>
        <xdr:cNvPicPr preferRelativeResize="1">
          <a:picLocks noChangeAspect="1"/>
        </xdr:cNvPicPr>
      </xdr:nvPicPr>
      <xdr:blipFill>
        <a:blip r:embed="rId1"/>
        <a:stretch>
          <a:fillRect/>
        </a:stretch>
      </xdr:blipFill>
      <xdr:spPr>
        <a:xfrm>
          <a:off x="2647950" y="5448300"/>
          <a:ext cx="5172075" cy="4086225"/>
        </a:xfrm>
        <a:prstGeom prst="rect">
          <a:avLst/>
        </a:prstGeom>
        <a:noFill/>
        <a:ln w="9525" cmpd="sng">
          <a:noFill/>
        </a:ln>
      </xdr:spPr>
    </xdr:pic>
    <xdr:clientData/>
  </xdr:twoCellAnchor>
  <xdr:oneCellAnchor>
    <xdr:from>
      <xdr:col>1</xdr:col>
      <xdr:colOff>171450</xdr:colOff>
      <xdr:row>57</xdr:row>
      <xdr:rowOff>28575</xdr:rowOff>
    </xdr:from>
    <xdr:ext cx="8191500" cy="12430125"/>
    <xdr:sp>
      <xdr:nvSpPr>
        <xdr:cNvPr id="3" name="TextBox 4"/>
        <xdr:cNvSpPr txBox="1">
          <a:spLocks noChangeArrowheads="1"/>
        </xdr:cNvSpPr>
      </xdr:nvSpPr>
      <xdr:spPr>
        <a:xfrm>
          <a:off x="771525" y="9639300"/>
          <a:ext cx="8191500" cy="1243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Other Provinces/Areas
</a:t>
          </a:r>
          <a:r>
            <a:rPr lang="en-US" cap="none" sz="1000" b="0" i="0" u="none" baseline="0">
              <a:latin typeface="Arial"/>
              <a:ea typeface="Arial"/>
              <a:cs typeface="Arial"/>
            </a:rPr>
            <a:t>If data is available on the location of all health-care facilities, average round-trip distances may be determined in the same way as that described above for Gauteng.
In the absence of accurate data on the actual position of health-care facilities,  it is possible to make use of an </a:t>
          </a:r>
          <a:r>
            <a:rPr lang="en-US" cap="none" sz="1000" b="1" i="0" u="none" baseline="0">
              <a:latin typeface="Arial"/>
              <a:ea typeface="Arial"/>
              <a:cs typeface="Arial"/>
            </a:rPr>
            <a:t>approximate method</a:t>
          </a:r>
          <a:r>
            <a:rPr lang="en-US" cap="none" sz="1000" b="0" i="0" u="none" baseline="0">
              <a:latin typeface="Arial"/>
              <a:ea typeface="Arial"/>
              <a:cs typeface="Arial"/>
            </a:rPr>
            <a:t>. This method is based on the postulate described below.
If one takes a circular area with </a:t>
          </a:r>
          <a:r>
            <a:rPr lang="en-US" cap="none" sz="1000" b="1" i="0" u="none" baseline="0">
              <a:latin typeface="Arial"/>
              <a:ea typeface="Arial"/>
              <a:cs typeface="Arial"/>
            </a:rPr>
            <a:t>radius</a:t>
          </a:r>
          <a:r>
            <a:rPr lang="en-US" cap="none" sz="1000" b="0" i="0" u="none" baseline="0">
              <a:latin typeface="Arial"/>
              <a:ea typeface="Arial"/>
              <a:cs typeface="Arial"/>
            </a:rPr>
            <a:t> of (say) 100 km, then it is possible to prove that 
the </a:t>
          </a:r>
          <a:r>
            <a:rPr lang="en-US" cap="none" sz="1000" b="1" i="0" u="none" baseline="0">
              <a:latin typeface="Arial"/>
              <a:ea typeface="Arial"/>
              <a:cs typeface="Arial"/>
            </a:rPr>
            <a:t>average</a:t>
          </a:r>
          <a:r>
            <a:rPr lang="en-US" cap="none" sz="1000" b="0" i="0" u="none" baseline="0">
              <a:latin typeface="Arial"/>
              <a:ea typeface="Arial"/>
              <a:cs typeface="Arial"/>
            </a:rPr>
            <a:t> distance from the </a:t>
          </a:r>
          <a:r>
            <a:rPr lang="en-US" cap="none" sz="1000" b="1" i="0" u="none" baseline="0">
              <a:latin typeface="Arial"/>
              <a:ea typeface="Arial"/>
              <a:cs typeface="Arial"/>
            </a:rPr>
            <a:t>centre</a:t>
          </a:r>
          <a:r>
            <a:rPr lang="en-US" cap="none" sz="1000" b="0" i="0" u="none" baseline="0">
              <a:latin typeface="Arial"/>
              <a:ea typeface="Arial"/>
              <a:cs typeface="Arial"/>
            </a:rPr>
            <a:t> of the circle to a </a:t>
          </a:r>
          <a:r>
            <a:rPr lang="en-US" cap="none" sz="1000" b="1" i="0" u="none" baseline="0">
              <a:latin typeface="Arial"/>
              <a:ea typeface="Arial"/>
              <a:cs typeface="Arial"/>
            </a:rPr>
            <a:t>large number of evenly-spaced</a:t>
          </a:r>
          <a:r>
            <a:rPr lang="en-US" cap="none" sz="1000" b="0" i="0" u="none" baseline="0">
              <a:latin typeface="Arial"/>
              <a:ea typeface="Arial"/>
              <a:cs typeface="Arial"/>
            </a:rPr>
            <a:t> 
</a:t>
          </a:r>
          <a:r>
            <a:rPr lang="en-US" cap="none" sz="1000" b="1" i="0" u="none" baseline="0">
              <a:latin typeface="Arial"/>
              <a:ea typeface="Arial"/>
              <a:cs typeface="Arial"/>
            </a:rPr>
            <a:t>points</a:t>
          </a:r>
          <a:r>
            <a:rPr lang="en-US" cap="none" sz="1000" b="0" i="0" u="none" baseline="0">
              <a:latin typeface="Arial"/>
              <a:ea typeface="Arial"/>
              <a:cs typeface="Arial"/>
            </a:rPr>
            <a:t> within the circle is is 66.67 km (see diagram).
(As a point of interest, the </a:t>
          </a:r>
          <a:r>
            <a:rPr lang="en-US" cap="none" sz="1000" b="1" i="0" u="none" baseline="0">
              <a:latin typeface="Arial"/>
              <a:ea typeface="Arial"/>
              <a:cs typeface="Arial"/>
            </a:rPr>
            <a:t>average</a:t>
          </a:r>
          <a:r>
            <a:rPr lang="en-US" cap="none" sz="1000" b="0" i="0" u="none" baseline="0">
              <a:latin typeface="Arial"/>
              <a:ea typeface="Arial"/>
              <a:cs typeface="Arial"/>
            </a:rPr>
            <a:t> distance from a point </a:t>
          </a:r>
          <a:r>
            <a:rPr lang="en-US" cap="none" sz="1000" b="1" i="0" u="none" baseline="0">
              <a:latin typeface="Arial"/>
              <a:ea typeface="Arial"/>
              <a:cs typeface="Arial"/>
            </a:rPr>
            <a:t>on the circumference</a:t>
          </a:r>
          <a:r>
            <a:rPr lang="en-US" cap="none" sz="1000" b="0" i="0" u="none" baseline="0">
              <a:latin typeface="Arial"/>
              <a:ea typeface="Arial"/>
              <a:cs typeface="Arial"/>
            </a:rPr>
            <a:t> of the
circle to a  a large number of evenly-spaced points within the circle is is 113 km.)
It has also been established (by an empirical study undertaken within the current project)
that the average* distance from a large number of evenly-spaced points within a circle to 
the </a:t>
          </a:r>
          <a:r>
            <a:rPr lang="en-US" cap="none" sz="1000" b="1" i="0" u="none" baseline="0">
              <a:latin typeface="Arial"/>
              <a:ea typeface="Arial"/>
              <a:cs typeface="Arial"/>
            </a:rPr>
            <a:t>closest</a:t>
          </a:r>
          <a:r>
            <a:rPr lang="en-US" cap="none" sz="1000" b="0" i="0" u="none" baseline="0">
              <a:latin typeface="Arial"/>
              <a:ea typeface="Arial"/>
              <a:cs typeface="Arial"/>
            </a:rPr>
            <a:t> of </a:t>
          </a:r>
          <a:r>
            <a:rPr lang="en-US" cap="none" sz="1000" b="1" i="0" u="none" baseline="0">
              <a:latin typeface="Arial"/>
              <a:ea typeface="Arial"/>
              <a:cs typeface="Arial"/>
            </a:rPr>
            <a:t>three, ten</a:t>
          </a:r>
          <a:r>
            <a:rPr lang="en-US" cap="none" sz="1000" b="0" i="0" u="none" baseline="0">
              <a:latin typeface="Arial"/>
              <a:ea typeface="Arial"/>
              <a:cs typeface="Arial"/>
            </a:rPr>
            <a:t> or </a:t>
          </a:r>
          <a:r>
            <a:rPr lang="en-US" cap="none" sz="1000" b="1" i="0" u="none" baseline="0">
              <a:latin typeface="Arial"/>
              <a:ea typeface="Arial"/>
              <a:cs typeface="Arial"/>
            </a:rPr>
            <a:t>twenty</a:t>
          </a:r>
          <a:r>
            <a:rPr lang="en-US" cap="none" sz="1000" b="0" i="0" u="none" baseline="0">
              <a:latin typeface="Arial"/>
              <a:ea typeface="Arial"/>
              <a:cs typeface="Arial"/>
            </a:rPr>
            <a:t> randomly-placed points within the circle is 53.9, 30.3 
and 21.5 km, respectively (see diagram).
(* These averages are based on 20 individual determinations in each case.) 
These </a:t>
          </a:r>
          <a:r>
            <a:rPr lang="en-US" cap="none" sz="1000" b="1" i="0" u="none" baseline="0">
              <a:latin typeface="Arial"/>
              <a:ea typeface="Arial"/>
              <a:cs typeface="Arial"/>
            </a:rPr>
            <a:t>straight-line</a:t>
          </a:r>
          <a:r>
            <a:rPr lang="en-US" cap="none" sz="1000" b="0" i="0" u="none" baseline="0">
              <a:latin typeface="Arial"/>
              <a:ea typeface="Arial"/>
              <a:cs typeface="Arial"/>
            </a:rPr>
            <a:t> distances convert into </a:t>
          </a:r>
          <a:r>
            <a:rPr lang="en-US" cap="none" sz="1000" b="1" i="0" u="none" baseline="0">
              <a:latin typeface="Arial"/>
              <a:ea typeface="Arial"/>
              <a:cs typeface="Arial"/>
            </a:rPr>
            <a:t>round-trip distances</a:t>
          </a:r>
          <a:r>
            <a:rPr lang="en-US" cap="none" sz="1000" b="0" i="0" u="none" baseline="0">
              <a:latin typeface="Arial"/>
              <a:ea typeface="Arial"/>
              <a:cs typeface="Arial"/>
            </a:rPr>
            <a:t> ("RTD's")  of 173, 140, 79 
and 56 km, respectively (for 1, 3, 10 and 20 'facilities').
These results are reflected graphically below. Again, a logarithmic curve (see equation in box) fits the data reasonably well.
Expressed in terms of the </a:t>
          </a:r>
          <a:r>
            <a:rPr lang="en-US" cap="none" sz="1000" b="1" i="0" u="none" baseline="0">
              <a:latin typeface="Arial"/>
              <a:ea typeface="Arial"/>
              <a:cs typeface="Arial"/>
            </a:rPr>
            <a:t>radius</a:t>
          </a:r>
          <a:r>
            <a:rPr lang="en-US" cap="none" sz="1000" b="0" i="0" u="none" baseline="0">
              <a:latin typeface="Arial"/>
              <a:ea typeface="Arial"/>
              <a:cs typeface="Arial"/>
            </a:rPr>
            <a:t> (</a:t>
          </a:r>
          <a:r>
            <a:rPr lang="en-US" cap="none" sz="1000" b="1" i="0" u="none" baseline="0">
              <a:latin typeface="Arial"/>
              <a:ea typeface="Arial"/>
              <a:cs typeface="Arial"/>
            </a:rPr>
            <a:t> r</a:t>
          </a:r>
          <a:r>
            <a:rPr lang="en-US" cap="none" sz="1000" b="0" i="0" u="none" baseline="0">
              <a:latin typeface="Arial"/>
              <a:ea typeface="Arial"/>
              <a:cs typeface="Arial"/>
            </a:rPr>
            <a:t> ) of the circle, the above formula can be re-stated as:
</a:t>
          </a:r>
          <a:r>
            <a:rPr lang="en-US" cap="none" sz="1000" b="1" i="0" u="none" baseline="0">
              <a:latin typeface="Arial"/>
              <a:ea typeface="Arial"/>
              <a:cs typeface="Arial"/>
            </a:rPr>
            <a:t>Round-trip distance ("RTD") = r x (1.78 - 0.418 x ln(n))</a:t>
          </a:r>
          <a:r>
            <a:rPr lang="en-US" cap="none" sz="1000" b="0" i="0" u="none" baseline="0">
              <a:latin typeface="Arial"/>
              <a:ea typeface="Arial"/>
              <a:cs typeface="Arial"/>
            </a:rPr>
            <a:t> where 'n' is the number of treatment facilities. (ln(n) is the natural logarithm of n).
As regards the application of the above to the practical 'problem' of health-care facilities and HCRW treatment facilities, the most apparent shortcomings are:
(a) health-care facilities are never 'evenly-spaced' in practice, but tend to be concentrated in 'clusters' in towns and cities;
(b) the province or other area under consideration is seldom circular in shape; and
(c) HCRW facilities are unlikely to be sited on a 'random' basis, but are more likely to be located within or near the health-care 'clusters' referred to in (a) above. (The effect of this latter point is almost always to yield </a:t>
          </a:r>
          <a:r>
            <a:rPr lang="en-US" cap="none" sz="1000" b="1" i="0" u="none" baseline="0">
              <a:latin typeface="Arial"/>
              <a:ea typeface="Arial"/>
              <a:cs typeface="Arial"/>
            </a:rPr>
            <a:t>higher</a:t>
          </a:r>
          <a:r>
            <a:rPr lang="en-US" cap="none" sz="1000" b="0" i="0" u="none" baseline="0">
              <a:latin typeface="Arial"/>
              <a:ea typeface="Arial"/>
              <a:cs typeface="Arial"/>
            </a:rPr>
            <a:t> RTD's than would apply in practice, i.e. it will generate 'conservative' results for transport costs.) 
Notwithstanding the above shortcomings, it is possible to make reasonable estimates of RTD's using the formula above, provided certain adjustments are made. For example, in the case of Gauteng (see below) there is a major concentration of hospitals in the Greater Johannesburg area (including the East- and West-Rand), and a smaller concentration around Pretoria. There are further, small concentrations around Vereeniging/Vanderbijlpark and around Carletonville. </a:t>
          </a:r>
          <a:r>
            <a:rPr lang="en-US" cap="none" sz="1000" b="1" i="0" u="none" baseline="0">
              <a:latin typeface="Arial"/>
              <a:ea typeface="Arial"/>
              <a:cs typeface="Arial"/>
            </a:rPr>
            <a:t>A circle drawn so as to include the two major clusters</a:t>
          </a:r>
          <a:r>
            <a:rPr lang="en-US" cap="none" sz="1000" b="0" i="0" u="none" baseline="0">
              <a:latin typeface="Arial"/>
              <a:ea typeface="Arial"/>
              <a:cs typeface="Arial"/>
            </a:rPr>
            <a:t> (see below) is found to have a radius of approximately 50km.  
  </a:t>
          </a:r>
        </a:p>
      </xdr:txBody>
    </xdr:sp>
    <xdr:clientData/>
  </xdr:oneCellAnchor>
  <xdr:twoCellAnchor editAs="oneCell">
    <xdr:from>
      <xdr:col>7</xdr:col>
      <xdr:colOff>838200</xdr:colOff>
      <xdr:row>64</xdr:row>
      <xdr:rowOff>142875</xdr:rowOff>
    </xdr:from>
    <xdr:to>
      <xdr:col>10</xdr:col>
      <xdr:colOff>38100</xdr:colOff>
      <xdr:row>75</xdr:row>
      <xdr:rowOff>104775</xdr:rowOff>
    </xdr:to>
    <xdr:pic>
      <xdr:nvPicPr>
        <xdr:cNvPr id="4" name="Picture 5"/>
        <xdr:cNvPicPr preferRelativeResize="1">
          <a:picLocks noChangeAspect="1"/>
        </xdr:cNvPicPr>
      </xdr:nvPicPr>
      <xdr:blipFill>
        <a:blip r:embed="rId2"/>
        <a:stretch>
          <a:fillRect/>
        </a:stretch>
      </xdr:blipFill>
      <xdr:spPr>
        <a:xfrm>
          <a:off x="6524625" y="11020425"/>
          <a:ext cx="1743075" cy="1743075"/>
        </a:xfrm>
        <a:prstGeom prst="rect">
          <a:avLst/>
        </a:prstGeom>
        <a:noFill/>
        <a:ln w="9525" cmpd="sng">
          <a:noFill/>
        </a:ln>
      </xdr:spPr>
    </xdr:pic>
    <xdr:clientData/>
  </xdr:twoCellAnchor>
  <xdr:twoCellAnchor editAs="oneCell">
    <xdr:from>
      <xdr:col>7</xdr:col>
      <xdr:colOff>561975</xdr:colOff>
      <xdr:row>77</xdr:row>
      <xdr:rowOff>57150</xdr:rowOff>
    </xdr:from>
    <xdr:to>
      <xdr:col>9</xdr:col>
      <xdr:colOff>790575</xdr:colOff>
      <xdr:row>89</xdr:row>
      <xdr:rowOff>38100</xdr:rowOff>
    </xdr:to>
    <xdr:pic>
      <xdr:nvPicPr>
        <xdr:cNvPr id="5" name="Picture 6"/>
        <xdr:cNvPicPr preferRelativeResize="1">
          <a:picLocks noChangeAspect="1"/>
        </xdr:cNvPicPr>
      </xdr:nvPicPr>
      <xdr:blipFill>
        <a:blip r:embed="rId3"/>
        <a:stretch>
          <a:fillRect/>
        </a:stretch>
      </xdr:blipFill>
      <xdr:spPr>
        <a:xfrm>
          <a:off x="6248400" y="13039725"/>
          <a:ext cx="1924050" cy="1924050"/>
        </a:xfrm>
        <a:prstGeom prst="rect">
          <a:avLst/>
        </a:prstGeom>
        <a:noFill/>
        <a:ln w="9525" cmpd="sng">
          <a:noFill/>
        </a:ln>
      </xdr:spPr>
    </xdr:pic>
    <xdr:clientData/>
  </xdr:twoCellAnchor>
  <xdr:twoCellAnchor editAs="oneCell">
    <xdr:from>
      <xdr:col>3</xdr:col>
      <xdr:colOff>200025</xdr:colOff>
      <xdr:row>93</xdr:row>
      <xdr:rowOff>104775</xdr:rowOff>
    </xdr:from>
    <xdr:to>
      <xdr:col>8</xdr:col>
      <xdr:colOff>257175</xdr:colOff>
      <xdr:row>113</xdr:row>
      <xdr:rowOff>0</xdr:rowOff>
    </xdr:to>
    <xdr:pic>
      <xdr:nvPicPr>
        <xdr:cNvPr id="6" name="Picture 7"/>
        <xdr:cNvPicPr preferRelativeResize="1">
          <a:picLocks noChangeAspect="1"/>
        </xdr:cNvPicPr>
      </xdr:nvPicPr>
      <xdr:blipFill>
        <a:blip r:embed="rId4"/>
        <a:stretch>
          <a:fillRect/>
        </a:stretch>
      </xdr:blipFill>
      <xdr:spPr>
        <a:xfrm>
          <a:off x="2495550" y="15678150"/>
          <a:ext cx="4295775" cy="3133725"/>
        </a:xfrm>
        <a:prstGeom prst="rect">
          <a:avLst/>
        </a:prstGeom>
        <a:noFill/>
        <a:ln w="9525" cmpd="sng">
          <a:noFill/>
        </a:ln>
      </xdr:spPr>
    </xdr:pic>
    <xdr:clientData/>
  </xdr:twoCellAnchor>
  <xdr:twoCellAnchor editAs="oneCell">
    <xdr:from>
      <xdr:col>3</xdr:col>
      <xdr:colOff>190500</xdr:colOff>
      <xdr:row>134</xdr:row>
      <xdr:rowOff>47625</xdr:rowOff>
    </xdr:from>
    <xdr:to>
      <xdr:col>8</xdr:col>
      <xdr:colOff>247650</xdr:colOff>
      <xdr:row>158</xdr:row>
      <xdr:rowOff>114300</xdr:rowOff>
    </xdr:to>
    <xdr:pic>
      <xdr:nvPicPr>
        <xdr:cNvPr id="7" name="Picture 8"/>
        <xdr:cNvPicPr preferRelativeResize="1">
          <a:picLocks noChangeAspect="1"/>
        </xdr:cNvPicPr>
      </xdr:nvPicPr>
      <xdr:blipFill>
        <a:blip r:embed="rId5"/>
        <a:stretch>
          <a:fillRect/>
        </a:stretch>
      </xdr:blipFill>
      <xdr:spPr>
        <a:xfrm>
          <a:off x="2486025" y="22259925"/>
          <a:ext cx="4295775" cy="3952875"/>
        </a:xfrm>
        <a:prstGeom prst="rect">
          <a:avLst/>
        </a:prstGeom>
        <a:noFill/>
        <a:ln w="9525" cmpd="sng">
          <a:noFill/>
        </a:ln>
      </xdr:spPr>
    </xdr:pic>
    <xdr:clientData/>
  </xdr:twoCellAnchor>
  <xdr:twoCellAnchor>
    <xdr:from>
      <xdr:col>1</xdr:col>
      <xdr:colOff>266700</xdr:colOff>
      <xdr:row>159</xdr:row>
      <xdr:rowOff>85725</xdr:rowOff>
    </xdr:from>
    <xdr:to>
      <xdr:col>10</xdr:col>
      <xdr:colOff>581025</xdr:colOff>
      <xdr:row>162</xdr:row>
      <xdr:rowOff>95250</xdr:rowOff>
    </xdr:to>
    <xdr:sp>
      <xdr:nvSpPr>
        <xdr:cNvPr id="8" name="TextBox 9"/>
        <xdr:cNvSpPr txBox="1">
          <a:spLocks noChangeArrowheads="1"/>
        </xdr:cNvSpPr>
      </xdr:nvSpPr>
      <xdr:spPr>
        <a:xfrm>
          <a:off x="866775" y="26346150"/>
          <a:ext cx="79438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Applying the 'circle' formula (described above) using a radius of 50km yields the following results for estimated RTD's. For comparative purposes, the RTD's calculated from actual data are also shown.</a:t>
          </a:r>
        </a:p>
      </xdr:txBody>
    </xdr:sp>
    <xdr:clientData/>
  </xdr:twoCellAnchor>
  <xdr:twoCellAnchor>
    <xdr:from>
      <xdr:col>1</xdr:col>
      <xdr:colOff>333375</xdr:colOff>
      <xdr:row>171</xdr:row>
      <xdr:rowOff>38100</xdr:rowOff>
    </xdr:from>
    <xdr:to>
      <xdr:col>10</xdr:col>
      <xdr:colOff>552450</xdr:colOff>
      <xdr:row>177</xdr:row>
      <xdr:rowOff>85725</xdr:rowOff>
    </xdr:to>
    <xdr:sp>
      <xdr:nvSpPr>
        <xdr:cNvPr id="9" name="TextBox 10"/>
        <xdr:cNvSpPr txBox="1">
          <a:spLocks noChangeArrowheads="1"/>
        </xdr:cNvSpPr>
      </xdr:nvSpPr>
      <xdr:spPr>
        <a:xfrm>
          <a:off x="933450" y="28527375"/>
          <a:ext cx="78486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 all cases, the RTD's estimated by the formula are conservative</a:t>
          </a:r>
          <a:r>
            <a:rPr lang="en-US" cap="none" sz="1000" b="0" i="0" u="none" baseline="0">
              <a:latin typeface="Arial"/>
              <a:ea typeface="Arial"/>
              <a:cs typeface="Arial"/>
            </a:rPr>
            <a:t>, i.e. higher than the RTD's determined from actual data. If these (higher) RTD's were used in the Transport Costs Module, the effect would be that per-container transport costs would be </a:t>
          </a:r>
          <a:r>
            <a:rPr lang="en-US" cap="none" sz="1000" b="1" i="0" u="none" baseline="0">
              <a:latin typeface="Arial"/>
              <a:ea typeface="Arial"/>
              <a:cs typeface="Arial"/>
            </a:rPr>
            <a:t>higher</a:t>
          </a:r>
          <a:r>
            <a:rPr lang="en-US" cap="none" sz="1000" b="0" i="0" u="none" baseline="0">
              <a:latin typeface="Arial"/>
              <a:ea typeface="Arial"/>
              <a:cs typeface="Arial"/>
            </a:rPr>
            <a:t> by approximately 6% (single facility), 8 % (three facilities), 17% (10 facilities) and 20% (20 facilities). The overall increase in transport costs is, however, limited to approximately R 100,000 per month (in the 'base-line' scenario), and such increase does not affect the 'rankings' of the various scenarios in this case, </a:t>
          </a:r>
          <a:r>
            <a:rPr lang="en-US" cap="none" sz="1000" b="1" i="0" u="none" baseline="0">
              <a:latin typeface="Arial"/>
              <a:ea typeface="Arial"/>
              <a:cs typeface="Arial"/>
            </a:rPr>
            <a:t>i.e. the 'optimal' scenarios remain the same, suggesting that the approximate method described above can be used with some degree of confidence.</a:t>
          </a:r>
        </a:p>
      </xdr:txBody>
    </xdr:sp>
    <xdr:clientData/>
  </xdr:twoCellAnchor>
  <xdr:twoCellAnchor>
    <xdr:from>
      <xdr:col>1</xdr:col>
      <xdr:colOff>371475</xdr:colOff>
      <xdr:row>179</xdr:row>
      <xdr:rowOff>57150</xdr:rowOff>
    </xdr:from>
    <xdr:to>
      <xdr:col>10</xdr:col>
      <xdr:colOff>542925</xdr:colOff>
      <xdr:row>196</xdr:row>
      <xdr:rowOff>0</xdr:rowOff>
    </xdr:to>
    <xdr:sp>
      <xdr:nvSpPr>
        <xdr:cNvPr id="10" name="TextBox 11"/>
        <xdr:cNvSpPr txBox="1">
          <a:spLocks noChangeArrowheads="1"/>
        </xdr:cNvSpPr>
      </xdr:nvSpPr>
      <xdr:spPr>
        <a:xfrm>
          <a:off x="971550" y="29841825"/>
          <a:ext cx="7800975" cy="2695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regards </a:t>
          </a:r>
          <a:r>
            <a:rPr lang="en-US" cap="none" sz="1000" b="1" i="0" u="none" baseline="0">
              <a:latin typeface="Arial"/>
              <a:ea typeface="Arial"/>
              <a:cs typeface="Arial"/>
            </a:rPr>
            <a:t>areas which are not circular or approximately circular</a:t>
          </a:r>
          <a:r>
            <a:rPr lang="en-US" cap="none" sz="1000" b="0" i="0" u="none" baseline="0">
              <a:latin typeface="Arial"/>
              <a:ea typeface="Arial"/>
              <a:cs typeface="Arial"/>
            </a:rPr>
            <a:t>, two possible approaches are suggested, viz.:
</a:t>
          </a:r>
          <a:r>
            <a:rPr lang="en-US" cap="none" sz="1000" b="1" i="0" u="none" baseline="0">
              <a:latin typeface="Arial"/>
              <a:ea typeface="Arial"/>
              <a:cs typeface="Arial"/>
            </a:rPr>
            <a:t>1.</a:t>
          </a:r>
          <a:r>
            <a:rPr lang="en-US" cap="none" sz="1000" b="0" i="0" u="none" baseline="0">
              <a:latin typeface="Arial"/>
              <a:ea typeface="Arial"/>
              <a:cs typeface="Arial"/>
            </a:rPr>
            <a:t> If the area under consideration constitutes a </a:t>
          </a:r>
          <a:r>
            <a:rPr lang="en-US" cap="none" sz="1000" b="1" i="0" u="none" baseline="0">
              <a:latin typeface="Arial"/>
              <a:ea typeface="Arial"/>
              <a:cs typeface="Arial"/>
            </a:rPr>
            <a:t>segment of a circle, </a:t>
          </a:r>
          <a:r>
            <a:rPr lang="en-US" cap="none" sz="1000" b="0" i="0" u="none" baseline="0">
              <a:latin typeface="Arial"/>
              <a:ea typeface="Arial"/>
              <a:cs typeface="Arial"/>
            </a:rPr>
            <a:t>e.g a quarter-circle, semi-circle, three-quarter circle, etc.
In such cases, the </a:t>
          </a:r>
          <a:r>
            <a:rPr lang="en-US" cap="none" sz="1000" b="1" i="0" u="none" baseline="0">
              <a:latin typeface="Arial"/>
              <a:ea typeface="Arial"/>
              <a:cs typeface="Arial"/>
            </a:rPr>
            <a:t>average RTD to any point from the centre of the quarter-circle, semi-circle</a:t>
          </a:r>
          <a:r>
            <a:rPr lang="en-US" cap="none" sz="1000" b="0" i="0" u="none" baseline="0">
              <a:latin typeface="Arial"/>
              <a:ea typeface="Arial"/>
              <a:cs typeface="Arial"/>
            </a:rPr>
            <a:t>, etc. remains the same as for a full circle, viz. approximately</a:t>
          </a:r>
          <a:r>
            <a:rPr lang="en-US" cap="none" sz="1000" b="1" i="0" u="none" baseline="0">
              <a:latin typeface="Arial"/>
              <a:ea typeface="Arial"/>
              <a:cs typeface="Arial"/>
            </a:rPr>
            <a:t> 1.78 x r.</a:t>
          </a:r>
          <a:r>
            <a:rPr lang="en-US" cap="none" sz="1000" b="0" i="0" u="none" baseline="0">
              <a:latin typeface="Arial"/>
              <a:ea typeface="Arial"/>
              <a:cs typeface="Arial"/>
            </a:rPr>
            <a:t>
In other cases (i.e. for 3, 10 or 20 facilities), a correction-factor must be applied, as follows:
Round-trip distance </a:t>
          </a:r>
          <a:r>
            <a:rPr lang="en-US" cap="none" sz="1000" b="1" i="0" u="none" baseline="0">
              <a:latin typeface="Arial"/>
              <a:ea typeface="Arial"/>
              <a:cs typeface="Arial"/>
            </a:rPr>
            <a:t>RTD = r x (1.78 - 0.418 x ln(n/f))</a:t>
          </a:r>
          <a:r>
            <a:rPr lang="en-US" cap="none" sz="1000" b="0" i="0" u="none" baseline="0">
              <a:latin typeface="Arial"/>
              <a:ea typeface="Arial"/>
              <a:cs typeface="Arial"/>
            </a:rPr>
            <a:t> where 'n' is the number of treatment facilities, and f is the fraction of circle involved, i.e. for a quarter-circle, f = 0.25, for a semi-circle, f = 0.5, etc.
(The rationale for this is that, in the case of a semi-circle, for example, if 10 facilities are located randomly within the semi-circle, this is equivalent to 20 facilities being located randomly within a full circle, etc.)
The formula below allows for user-entry of the parameters r and f, and calculates estimated RTD's for 1, 3, 10 and 20 facilities, respectively.
  then the circle formula described above will still apply</a:t>
          </a:r>
        </a:p>
      </xdr:txBody>
    </xdr:sp>
    <xdr:clientData/>
  </xdr:twoCellAnchor>
  <xdr:twoCellAnchor>
    <xdr:from>
      <xdr:col>1</xdr:col>
      <xdr:colOff>247650</xdr:colOff>
      <xdr:row>204</xdr:row>
      <xdr:rowOff>76200</xdr:rowOff>
    </xdr:from>
    <xdr:to>
      <xdr:col>10</xdr:col>
      <xdr:colOff>695325</xdr:colOff>
      <xdr:row>239</xdr:row>
      <xdr:rowOff>9525</xdr:rowOff>
    </xdr:to>
    <xdr:sp>
      <xdr:nvSpPr>
        <xdr:cNvPr id="11" name="TextBox 12"/>
        <xdr:cNvSpPr txBox="1">
          <a:spLocks noChangeArrowheads="1"/>
        </xdr:cNvSpPr>
      </xdr:nvSpPr>
      <xdr:spPr>
        <a:xfrm>
          <a:off x="847725" y="34118550"/>
          <a:ext cx="8077200" cy="560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2.</a:t>
          </a:r>
          <a:r>
            <a:rPr lang="en-US" cap="none" sz="1000" b="0" i="0" u="none" baseline="0">
              <a:latin typeface="Arial"/>
              <a:ea typeface="Arial"/>
              <a:cs typeface="Arial"/>
            </a:rPr>
            <a:t> If health-care institutions are </a:t>
          </a:r>
          <a:r>
            <a:rPr lang="en-US" cap="none" sz="1000" b="1" i="0" u="none" baseline="0">
              <a:latin typeface="Arial"/>
              <a:ea typeface="Arial"/>
              <a:cs typeface="Arial"/>
            </a:rPr>
            <a:t>concentrated in discrete clusters, with few or no facilities between the clusters</a:t>
          </a:r>
          <a:r>
            <a:rPr lang="en-US" cap="none" sz="1000" b="0" i="0" u="none" baseline="0">
              <a:latin typeface="Arial"/>
              <a:ea typeface="Arial"/>
              <a:cs typeface="Arial"/>
            </a:rPr>
            <a:t>, then it may be appropriate to use simple arithmetic to determine average round-trip distances. Consider the example below:
Assume that, if only </a:t>
          </a:r>
          <a:r>
            <a:rPr lang="en-US" cap="none" sz="1000" b="1" i="0" u="none" baseline="0">
              <a:latin typeface="Arial"/>
              <a:ea typeface="Arial"/>
              <a:cs typeface="Arial"/>
            </a:rPr>
            <a:t>one</a:t>
          </a:r>
          <a:r>
            <a:rPr lang="en-US" cap="none" sz="1000" b="0" i="0" u="none" baseline="0">
              <a:latin typeface="Arial"/>
              <a:ea typeface="Arial"/>
              <a:cs typeface="Arial"/>
            </a:rPr>
            <a:t> treatment facility is contemplated, it would be 
located at city/town 'C'; in the case of two facilities, these would be 
located at "A" and "C", and in the case of three or more facilities, 
there would be at least one facility in each city/town. 
For the sake of simplicity, assume that the radius of each of the circles 
around 'A', 'B' and 'C' is 10 km. This would mean that, for a treatment
facility located at the centre of any town, the </a:t>
          </a:r>
          <a:r>
            <a:rPr lang="en-US" cap="none" sz="1000" b="1" i="0" u="none" baseline="0">
              <a:latin typeface="Arial"/>
              <a:ea typeface="Arial"/>
              <a:cs typeface="Arial"/>
            </a:rPr>
            <a:t>average RTD</a:t>
          </a:r>
          <a:r>
            <a:rPr lang="en-US" cap="none" sz="1000" b="0" i="0" u="none" baseline="0">
              <a:latin typeface="Arial"/>
              <a:ea typeface="Arial"/>
              <a:cs typeface="Arial"/>
            </a:rPr>
            <a:t> to points </a:t>
          </a:r>
          <a:r>
            <a:rPr lang="en-US" cap="none" sz="1000" b="1" i="0" u="none" baseline="0">
              <a:latin typeface="Arial"/>
              <a:ea typeface="Arial"/>
              <a:cs typeface="Arial"/>
            </a:rPr>
            <a:t>within </a:t>
          </a:r>
          <a:r>
            <a:rPr lang="en-US" cap="none" sz="1000" b="0" i="0" u="none" baseline="0">
              <a:latin typeface="Arial"/>
              <a:ea typeface="Arial"/>
              <a:cs typeface="Arial"/>
            </a:rPr>
            <a:t>
the town would be 1.78 x r = 17.8 km (see above). For a treatment facility located at
the centre of town 'C', the </a:t>
          </a:r>
          <a:r>
            <a:rPr lang="en-US" cap="none" sz="1000" b="1" i="0" u="none" baseline="0">
              <a:latin typeface="Arial"/>
              <a:ea typeface="Arial"/>
              <a:cs typeface="Arial"/>
            </a:rPr>
            <a:t>average RTD</a:t>
          </a:r>
          <a:r>
            <a:rPr lang="en-US" cap="none" sz="1000" b="0" i="0" u="none" baseline="0">
              <a:latin typeface="Arial"/>
              <a:ea typeface="Arial"/>
              <a:cs typeface="Arial"/>
            </a:rPr>
            <a:t> to health-care facilities in </a:t>
          </a:r>
          <a:r>
            <a:rPr lang="en-US" cap="none" sz="1000" b="1" i="0" u="none" baseline="0">
              <a:latin typeface="Arial"/>
              <a:ea typeface="Arial"/>
              <a:cs typeface="Arial"/>
            </a:rPr>
            <a:t>all the
towns</a:t>
          </a:r>
          <a:r>
            <a:rPr lang="en-US" cap="none" sz="1000" b="0" i="0" u="none" baseline="0">
              <a:latin typeface="Arial"/>
              <a:ea typeface="Arial"/>
              <a:cs typeface="Arial"/>
            </a:rPr>
            <a:t> would therefore be:
Average RTD = </a:t>
          </a:r>
          <a:r>
            <a:rPr lang="en-US" cap="none" sz="1000" b="0" i="0" u="sng" baseline="0">
              <a:latin typeface="Arial"/>
              <a:ea typeface="Arial"/>
              <a:cs typeface="Arial"/>
            </a:rPr>
            <a:t>(17.8 + [2 x 1.3 x ac] + [2 x 1.3 x bc])</a:t>
          </a:r>
          <a:r>
            <a:rPr lang="en-US" cap="none" sz="1000" b="0" i="0" u="none" baseline="0">
              <a:latin typeface="Arial"/>
              <a:ea typeface="Arial"/>
              <a:cs typeface="Arial"/>
            </a:rPr>
            <a:t> 
                                                3
where ac is the straight-line distance from the centre of town 'A' to the centre of town 'C', etc.
In a case where the number of health-care facilities (and therefore the amount of HCRW generated in the towns) </a:t>
          </a:r>
          <a:r>
            <a:rPr lang="en-US" cap="none" sz="1000" b="1" i="0" u="none" baseline="0">
              <a:latin typeface="Arial"/>
              <a:ea typeface="Arial"/>
              <a:cs typeface="Arial"/>
            </a:rPr>
            <a:t>differed widely</a:t>
          </a:r>
          <a:r>
            <a:rPr lang="en-US" cap="none" sz="1000" b="0" i="0" u="none" baseline="0">
              <a:latin typeface="Arial"/>
              <a:ea typeface="Arial"/>
              <a:cs typeface="Arial"/>
            </a:rPr>
            <a:t> between towns 'A', 'B' and 'C', an appropriate '</a:t>
          </a:r>
          <a:r>
            <a:rPr lang="en-US" cap="none" sz="1000" b="1" i="0" u="none" baseline="0">
              <a:latin typeface="Arial"/>
              <a:ea typeface="Arial"/>
              <a:cs typeface="Arial"/>
            </a:rPr>
            <a:t>weighting</a:t>
          </a:r>
          <a:r>
            <a:rPr lang="en-US" cap="none" sz="1000" b="0" i="0" u="none" baseline="0">
              <a:latin typeface="Arial"/>
              <a:ea typeface="Arial"/>
              <a:cs typeface="Arial"/>
            </a:rPr>
            <a:t>' could be introduced into the above formula. For example, if town 'C' generated 50% of the overall HCRW, town 'A' 20% and town 'B' 30%, the formula would be:
Average RTD = </a:t>
          </a:r>
          <a:r>
            <a:rPr lang="en-US" cap="none" sz="1000" b="0" i="0" u="sng" baseline="0">
              <a:latin typeface="Arial"/>
              <a:ea typeface="Arial"/>
              <a:cs typeface="Arial"/>
            </a:rPr>
            <a:t>(17.8 x 50% + [2 x 1.3 x ac] x 20% + [2 x 1.3 x bc] x 30%)</a:t>
          </a:r>
          <a:r>
            <a:rPr lang="en-US" cap="none" sz="1000" b="0" i="0" u="none" baseline="0">
              <a:latin typeface="Arial"/>
              <a:ea typeface="Arial"/>
              <a:cs typeface="Arial"/>
            </a:rPr>
            <a:t> 
                                                                3
If </a:t>
          </a:r>
          <a:r>
            <a:rPr lang="en-US" cap="none" sz="1000" b="1" i="0" u="none" baseline="0">
              <a:latin typeface="Arial"/>
              <a:ea typeface="Arial"/>
              <a:cs typeface="Arial"/>
            </a:rPr>
            <a:t>two treatment facilities</a:t>
          </a:r>
          <a:r>
            <a:rPr lang="en-US" cap="none" sz="1000" b="0" i="0" u="none" baseline="0">
              <a:latin typeface="Arial"/>
              <a:ea typeface="Arial"/>
              <a:cs typeface="Arial"/>
            </a:rPr>
            <a:t> were contemplated (at 'B' and 'C', say), and all HCRW from 'A' would be treated at 'B', the average RTD would be:
Average RTD =</a:t>
          </a:r>
          <a:r>
            <a:rPr lang="en-US" cap="none" sz="1000" b="0" i="0" u="none" baseline="0">
              <a:latin typeface="Arial"/>
              <a:ea typeface="Arial"/>
              <a:cs typeface="Arial"/>
            </a:rPr>
            <a:t> </a:t>
          </a:r>
          <a:r>
            <a:rPr lang="en-US" cap="none" sz="1000" b="0" i="0" u="sng" baseline="0">
              <a:latin typeface="Arial"/>
              <a:ea typeface="Arial"/>
              <a:cs typeface="Arial"/>
            </a:rPr>
            <a:t>(17.8 x 50% + 17.8 x 30% + [2 x 1.3 x ab] x 20%)</a:t>
          </a:r>
          <a:r>
            <a:rPr lang="en-US" cap="none" sz="1000" b="0" i="0" u="none" baseline="0">
              <a:latin typeface="Arial"/>
              <a:ea typeface="Arial"/>
              <a:cs typeface="Arial"/>
            </a:rPr>
            <a:t>
                                                           3
Similar logic could be applied to determine the average RTD where </a:t>
          </a:r>
          <a:r>
            <a:rPr lang="en-US" cap="none" sz="1000" b="1" i="0" u="none" baseline="0">
              <a:latin typeface="Arial"/>
              <a:ea typeface="Arial"/>
              <a:cs typeface="Arial"/>
            </a:rPr>
            <a:t>three or more</a:t>
          </a:r>
          <a:r>
            <a:rPr lang="en-US" cap="none" sz="1000" b="0" i="0" u="none" baseline="0">
              <a:latin typeface="Arial"/>
              <a:ea typeface="Arial"/>
              <a:cs typeface="Arial"/>
            </a:rPr>
            <a:t> treatment facilities were involved.</a:t>
          </a:r>
        </a:p>
      </xdr:txBody>
    </xdr:sp>
    <xdr:clientData/>
  </xdr:twoCellAnchor>
  <xdr:twoCellAnchor editAs="oneCell">
    <xdr:from>
      <xdr:col>7</xdr:col>
      <xdr:colOff>476250</xdr:colOff>
      <xdr:row>209</xdr:row>
      <xdr:rowOff>104775</xdr:rowOff>
    </xdr:from>
    <xdr:to>
      <xdr:col>10</xdr:col>
      <xdr:colOff>28575</xdr:colOff>
      <xdr:row>224</xdr:row>
      <xdr:rowOff>104775</xdr:rowOff>
    </xdr:to>
    <xdr:pic>
      <xdr:nvPicPr>
        <xdr:cNvPr id="12" name="Picture 13"/>
        <xdr:cNvPicPr preferRelativeResize="1">
          <a:picLocks noChangeAspect="1"/>
        </xdr:cNvPicPr>
      </xdr:nvPicPr>
      <xdr:blipFill>
        <a:blip r:embed="rId6"/>
        <a:stretch>
          <a:fillRect/>
        </a:stretch>
      </xdr:blipFill>
      <xdr:spPr>
        <a:xfrm>
          <a:off x="6162675" y="34956750"/>
          <a:ext cx="2095500" cy="2428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1790700</xdr:colOff>
      <xdr:row>8</xdr:row>
      <xdr:rowOff>57150</xdr:rowOff>
    </xdr:from>
    <xdr:to>
      <xdr:col>1</xdr:col>
      <xdr:colOff>2295525</xdr:colOff>
      <xdr:row>12</xdr:row>
      <xdr:rowOff>0</xdr:rowOff>
    </xdr:to>
    <xdr:pic>
      <xdr:nvPicPr>
        <xdr:cNvPr id="1" name="Picture 1"/>
        <xdr:cNvPicPr preferRelativeResize="1">
          <a:picLocks noChangeAspect="1"/>
        </xdr:cNvPicPr>
      </xdr:nvPicPr>
      <xdr:blipFill>
        <a:blip r:embed="rId1"/>
        <a:stretch>
          <a:fillRect/>
        </a:stretch>
      </xdr:blipFill>
      <xdr:spPr>
        <a:xfrm>
          <a:off x="2143125" y="1800225"/>
          <a:ext cx="504825" cy="600075"/>
        </a:xfrm>
        <a:prstGeom prst="rect">
          <a:avLst/>
        </a:prstGeom>
        <a:noFill/>
        <a:ln w="9525" cmpd="sng">
          <a:noFill/>
        </a:ln>
      </xdr:spPr>
    </xdr:pic>
    <xdr:clientData/>
  </xdr:twoCellAnchor>
  <xdr:twoCellAnchor editAs="oneCell">
    <xdr:from>
      <xdr:col>3</xdr:col>
      <xdr:colOff>304800</xdr:colOff>
      <xdr:row>6</xdr:row>
      <xdr:rowOff>28575</xdr:rowOff>
    </xdr:from>
    <xdr:to>
      <xdr:col>6</xdr:col>
      <xdr:colOff>561975</xdr:colOff>
      <xdr:row>12</xdr:row>
      <xdr:rowOff>0</xdr:rowOff>
    </xdr:to>
    <xdr:pic>
      <xdr:nvPicPr>
        <xdr:cNvPr id="2" name="Picture 2"/>
        <xdr:cNvPicPr preferRelativeResize="1">
          <a:picLocks noChangeAspect="1"/>
        </xdr:cNvPicPr>
      </xdr:nvPicPr>
      <xdr:blipFill>
        <a:blip r:embed="rId2"/>
        <a:stretch>
          <a:fillRect/>
        </a:stretch>
      </xdr:blipFill>
      <xdr:spPr>
        <a:xfrm>
          <a:off x="5076825" y="1447800"/>
          <a:ext cx="2133600" cy="952500"/>
        </a:xfrm>
        <a:prstGeom prst="rect">
          <a:avLst/>
        </a:prstGeom>
        <a:noFill/>
        <a:ln w="9525" cmpd="sng">
          <a:noFill/>
        </a:ln>
      </xdr:spPr>
    </xdr:pic>
    <xdr:clientData/>
  </xdr:twoCellAnchor>
  <xdr:twoCellAnchor editAs="oneCell">
    <xdr:from>
      <xdr:col>1</xdr:col>
      <xdr:colOff>228600</xdr:colOff>
      <xdr:row>10</xdr:row>
      <xdr:rowOff>38100</xdr:rowOff>
    </xdr:from>
    <xdr:to>
      <xdr:col>1</xdr:col>
      <xdr:colOff>447675</xdr:colOff>
      <xdr:row>11</xdr:row>
      <xdr:rowOff>152400</xdr:rowOff>
    </xdr:to>
    <xdr:pic>
      <xdr:nvPicPr>
        <xdr:cNvPr id="3" name="Picture 3"/>
        <xdr:cNvPicPr preferRelativeResize="1">
          <a:picLocks noChangeAspect="1"/>
        </xdr:cNvPicPr>
      </xdr:nvPicPr>
      <xdr:blipFill>
        <a:blip r:embed="rId3"/>
        <a:stretch>
          <a:fillRect/>
        </a:stretch>
      </xdr:blipFill>
      <xdr:spPr>
        <a:xfrm>
          <a:off x="581025" y="2105025"/>
          <a:ext cx="219075" cy="276225"/>
        </a:xfrm>
        <a:prstGeom prst="rect">
          <a:avLst/>
        </a:prstGeom>
        <a:noFill/>
        <a:ln w="9525" cmpd="sng">
          <a:noFill/>
        </a:ln>
      </xdr:spPr>
    </xdr:pic>
    <xdr:clientData/>
  </xdr:twoCellAnchor>
  <xdr:twoCellAnchor editAs="oneCell">
    <xdr:from>
      <xdr:col>1</xdr:col>
      <xdr:colOff>495300</xdr:colOff>
      <xdr:row>10</xdr:row>
      <xdr:rowOff>47625</xdr:rowOff>
    </xdr:from>
    <xdr:to>
      <xdr:col>1</xdr:col>
      <xdr:colOff>714375</xdr:colOff>
      <xdr:row>12</xdr:row>
      <xdr:rowOff>0</xdr:rowOff>
    </xdr:to>
    <xdr:pic>
      <xdr:nvPicPr>
        <xdr:cNvPr id="4" name="Picture 4"/>
        <xdr:cNvPicPr preferRelativeResize="1">
          <a:picLocks noChangeAspect="1"/>
        </xdr:cNvPicPr>
      </xdr:nvPicPr>
      <xdr:blipFill>
        <a:blip r:embed="rId3"/>
        <a:stretch>
          <a:fillRect/>
        </a:stretch>
      </xdr:blipFill>
      <xdr:spPr>
        <a:xfrm>
          <a:off x="847725" y="2114550"/>
          <a:ext cx="219075" cy="285750"/>
        </a:xfrm>
        <a:prstGeom prst="rect">
          <a:avLst/>
        </a:prstGeom>
        <a:noFill/>
        <a:ln w="9525" cmpd="sng">
          <a:noFill/>
        </a:ln>
      </xdr:spPr>
    </xdr:pic>
    <xdr:clientData/>
  </xdr:twoCellAnchor>
  <xdr:twoCellAnchor editAs="oneCell">
    <xdr:from>
      <xdr:col>1</xdr:col>
      <xdr:colOff>381000</xdr:colOff>
      <xdr:row>8</xdr:row>
      <xdr:rowOff>95250</xdr:rowOff>
    </xdr:from>
    <xdr:to>
      <xdr:col>1</xdr:col>
      <xdr:colOff>600075</xdr:colOff>
      <xdr:row>10</xdr:row>
      <xdr:rowOff>47625</xdr:rowOff>
    </xdr:to>
    <xdr:pic>
      <xdr:nvPicPr>
        <xdr:cNvPr id="5" name="Picture 5"/>
        <xdr:cNvPicPr preferRelativeResize="1">
          <a:picLocks noChangeAspect="1"/>
        </xdr:cNvPicPr>
      </xdr:nvPicPr>
      <xdr:blipFill>
        <a:blip r:embed="rId3"/>
        <a:stretch>
          <a:fillRect/>
        </a:stretch>
      </xdr:blipFill>
      <xdr:spPr>
        <a:xfrm>
          <a:off x="733425" y="1838325"/>
          <a:ext cx="219075" cy="276225"/>
        </a:xfrm>
        <a:prstGeom prst="rect">
          <a:avLst/>
        </a:prstGeom>
        <a:noFill/>
        <a:ln w="9525" cmpd="sng">
          <a:noFill/>
        </a:ln>
      </xdr:spPr>
    </xdr:pic>
    <xdr:clientData/>
  </xdr:twoCellAnchor>
  <xdr:twoCellAnchor>
    <xdr:from>
      <xdr:col>13</xdr:col>
      <xdr:colOff>733425</xdr:colOff>
      <xdr:row>72</xdr:row>
      <xdr:rowOff>0</xdr:rowOff>
    </xdr:from>
    <xdr:to>
      <xdr:col>13</xdr:col>
      <xdr:colOff>733425</xdr:colOff>
      <xdr:row>72</xdr:row>
      <xdr:rowOff>0</xdr:rowOff>
    </xdr:to>
    <xdr:sp>
      <xdr:nvSpPr>
        <xdr:cNvPr id="6" name="AutoShape 10"/>
        <xdr:cNvSpPr>
          <a:spLocks/>
        </xdr:cNvSpPr>
      </xdr:nvSpPr>
      <xdr:spPr>
        <a:xfrm>
          <a:off x="13592175" y="14277975"/>
          <a:ext cx="0" cy="0"/>
        </a:xfrm>
        <a:prstGeom prst="wedgeRoundRectCallout">
          <a:avLst>
            <a:gd name="adj1" fmla="val -36629"/>
            <a:gd name="adj2" fmla="val -8750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Figure in green block used to balance work-load between crew-members 1 &amp; 2</a:t>
          </a:r>
        </a:p>
      </xdr:txBody>
    </xdr:sp>
    <xdr:clientData/>
  </xdr:twoCellAnchor>
  <xdr:twoCellAnchor editAs="oneCell">
    <xdr:from>
      <xdr:col>1</xdr:col>
      <xdr:colOff>1838325</xdr:colOff>
      <xdr:row>76</xdr:row>
      <xdr:rowOff>57150</xdr:rowOff>
    </xdr:from>
    <xdr:to>
      <xdr:col>1</xdr:col>
      <xdr:colOff>2200275</xdr:colOff>
      <xdr:row>79</xdr:row>
      <xdr:rowOff>114300</xdr:rowOff>
    </xdr:to>
    <xdr:pic>
      <xdr:nvPicPr>
        <xdr:cNvPr id="7" name="Picture 17"/>
        <xdr:cNvPicPr preferRelativeResize="1">
          <a:picLocks noChangeAspect="1"/>
        </xdr:cNvPicPr>
      </xdr:nvPicPr>
      <xdr:blipFill>
        <a:blip r:embed="rId4"/>
        <a:stretch>
          <a:fillRect/>
        </a:stretch>
      </xdr:blipFill>
      <xdr:spPr>
        <a:xfrm>
          <a:off x="2190750" y="15144750"/>
          <a:ext cx="361950" cy="542925"/>
        </a:xfrm>
        <a:prstGeom prst="rect">
          <a:avLst/>
        </a:prstGeom>
        <a:noFill/>
        <a:ln w="9525" cmpd="sng">
          <a:noFill/>
        </a:ln>
      </xdr:spPr>
    </xdr:pic>
    <xdr:clientData/>
  </xdr:twoCellAnchor>
  <xdr:twoCellAnchor editAs="oneCell">
    <xdr:from>
      <xdr:col>3</xdr:col>
      <xdr:colOff>133350</xdr:colOff>
      <xdr:row>74</xdr:row>
      <xdr:rowOff>57150</xdr:rowOff>
    </xdr:from>
    <xdr:to>
      <xdr:col>6</xdr:col>
      <xdr:colOff>638175</xdr:colOff>
      <xdr:row>79</xdr:row>
      <xdr:rowOff>152400</xdr:rowOff>
    </xdr:to>
    <xdr:pic>
      <xdr:nvPicPr>
        <xdr:cNvPr id="8" name="Picture 18"/>
        <xdr:cNvPicPr preferRelativeResize="1">
          <a:picLocks noChangeAspect="1"/>
        </xdr:cNvPicPr>
      </xdr:nvPicPr>
      <xdr:blipFill>
        <a:blip r:embed="rId5"/>
        <a:stretch>
          <a:fillRect/>
        </a:stretch>
      </xdr:blipFill>
      <xdr:spPr>
        <a:xfrm>
          <a:off x="4905375" y="14820900"/>
          <a:ext cx="2381250" cy="904875"/>
        </a:xfrm>
        <a:prstGeom prst="rect">
          <a:avLst/>
        </a:prstGeom>
        <a:noFill/>
        <a:ln w="9525" cmpd="sng">
          <a:noFill/>
        </a:ln>
      </xdr:spPr>
    </xdr:pic>
    <xdr:clientData/>
  </xdr:twoCellAnchor>
  <xdr:twoCellAnchor>
    <xdr:from>
      <xdr:col>10</xdr:col>
      <xdr:colOff>838200</xdr:colOff>
      <xdr:row>105</xdr:row>
      <xdr:rowOff>0</xdr:rowOff>
    </xdr:from>
    <xdr:to>
      <xdr:col>10</xdr:col>
      <xdr:colOff>2476500</xdr:colOff>
      <xdr:row>105</xdr:row>
      <xdr:rowOff>0</xdr:rowOff>
    </xdr:to>
    <xdr:sp>
      <xdr:nvSpPr>
        <xdr:cNvPr id="9" name="AutoShape 19"/>
        <xdr:cNvSpPr>
          <a:spLocks/>
        </xdr:cNvSpPr>
      </xdr:nvSpPr>
      <xdr:spPr>
        <a:xfrm>
          <a:off x="9534525" y="20069175"/>
          <a:ext cx="1638300" cy="0"/>
        </a:xfrm>
        <a:prstGeom prst="wedgeRoundRectCallout">
          <a:avLst>
            <a:gd name="adj1" fmla="val -36629"/>
            <a:gd name="adj2" fmla="val -8750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Figure in green block used to balance work-load between crew-members 1 &amp; 2</a:t>
          </a:r>
        </a:p>
      </xdr:txBody>
    </xdr:sp>
    <xdr:clientData/>
  </xdr:twoCellAnchor>
  <xdr:twoCellAnchor editAs="oneCell">
    <xdr:from>
      <xdr:col>1</xdr:col>
      <xdr:colOff>85725</xdr:colOff>
      <xdr:row>77</xdr:row>
      <xdr:rowOff>47625</xdr:rowOff>
    </xdr:from>
    <xdr:to>
      <xdr:col>1</xdr:col>
      <xdr:colOff>352425</xdr:colOff>
      <xdr:row>79</xdr:row>
      <xdr:rowOff>152400</xdr:rowOff>
    </xdr:to>
    <xdr:pic>
      <xdr:nvPicPr>
        <xdr:cNvPr id="10" name="Picture 20"/>
        <xdr:cNvPicPr preferRelativeResize="1">
          <a:picLocks noChangeAspect="1"/>
        </xdr:cNvPicPr>
      </xdr:nvPicPr>
      <xdr:blipFill>
        <a:blip r:embed="rId6"/>
        <a:stretch>
          <a:fillRect/>
        </a:stretch>
      </xdr:blipFill>
      <xdr:spPr>
        <a:xfrm>
          <a:off x="438150" y="15297150"/>
          <a:ext cx="266700" cy="428625"/>
        </a:xfrm>
        <a:prstGeom prst="rect">
          <a:avLst/>
        </a:prstGeom>
        <a:noFill/>
        <a:ln w="9525" cmpd="sng">
          <a:noFill/>
        </a:ln>
      </xdr:spPr>
    </xdr:pic>
    <xdr:clientData/>
  </xdr:twoCellAnchor>
  <xdr:twoCellAnchor editAs="oneCell">
    <xdr:from>
      <xdr:col>1</xdr:col>
      <xdr:colOff>2181225</xdr:colOff>
      <xdr:row>76</xdr:row>
      <xdr:rowOff>133350</xdr:rowOff>
    </xdr:from>
    <xdr:to>
      <xdr:col>1</xdr:col>
      <xdr:colOff>2647950</xdr:colOff>
      <xdr:row>79</xdr:row>
      <xdr:rowOff>142875</xdr:rowOff>
    </xdr:to>
    <xdr:pic>
      <xdr:nvPicPr>
        <xdr:cNvPr id="11" name="Picture 21"/>
        <xdr:cNvPicPr preferRelativeResize="1">
          <a:picLocks noChangeAspect="1"/>
        </xdr:cNvPicPr>
      </xdr:nvPicPr>
      <xdr:blipFill>
        <a:blip r:embed="rId7"/>
        <a:stretch>
          <a:fillRect/>
        </a:stretch>
      </xdr:blipFill>
      <xdr:spPr>
        <a:xfrm>
          <a:off x="2533650" y="15220950"/>
          <a:ext cx="466725" cy="495300"/>
        </a:xfrm>
        <a:prstGeom prst="rect">
          <a:avLst/>
        </a:prstGeom>
        <a:noFill/>
        <a:ln w="9525" cmpd="sng">
          <a:noFill/>
        </a:ln>
      </xdr:spPr>
    </xdr:pic>
    <xdr:clientData/>
  </xdr:twoCellAnchor>
  <xdr:twoCellAnchor editAs="oneCell">
    <xdr:from>
      <xdr:col>1</xdr:col>
      <xdr:colOff>352425</xdr:colOff>
      <xdr:row>77</xdr:row>
      <xdr:rowOff>9525</xdr:rowOff>
    </xdr:from>
    <xdr:to>
      <xdr:col>1</xdr:col>
      <xdr:colOff>619125</xdr:colOff>
      <xdr:row>79</xdr:row>
      <xdr:rowOff>114300</xdr:rowOff>
    </xdr:to>
    <xdr:pic>
      <xdr:nvPicPr>
        <xdr:cNvPr id="12" name="Picture 22"/>
        <xdr:cNvPicPr preferRelativeResize="1">
          <a:picLocks noChangeAspect="1"/>
        </xdr:cNvPicPr>
      </xdr:nvPicPr>
      <xdr:blipFill>
        <a:blip r:embed="rId6"/>
        <a:stretch>
          <a:fillRect/>
        </a:stretch>
      </xdr:blipFill>
      <xdr:spPr>
        <a:xfrm>
          <a:off x="704850" y="15259050"/>
          <a:ext cx="266700" cy="428625"/>
        </a:xfrm>
        <a:prstGeom prst="rect">
          <a:avLst/>
        </a:prstGeom>
        <a:noFill/>
        <a:ln w="9525" cmpd="sng">
          <a:noFill/>
        </a:ln>
      </xdr:spPr>
    </xdr:pic>
    <xdr:clientData/>
  </xdr:twoCellAnchor>
  <xdr:twoCellAnchor editAs="oneCell">
    <xdr:from>
      <xdr:col>1</xdr:col>
      <xdr:colOff>638175</xdr:colOff>
      <xdr:row>77</xdr:row>
      <xdr:rowOff>19050</xdr:rowOff>
    </xdr:from>
    <xdr:to>
      <xdr:col>1</xdr:col>
      <xdr:colOff>904875</xdr:colOff>
      <xdr:row>79</xdr:row>
      <xdr:rowOff>123825</xdr:rowOff>
    </xdr:to>
    <xdr:pic>
      <xdr:nvPicPr>
        <xdr:cNvPr id="13" name="Picture 23"/>
        <xdr:cNvPicPr preferRelativeResize="1">
          <a:picLocks noChangeAspect="1"/>
        </xdr:cNvPicPr>
      </xdr:nvPicPr>
      <xdr:blipFill>
        <a:blip r:embed="rId6"/>
        <a:stretch>
          <a:fillRect/>
        </a:stretch>
      </xdr:blipFill>
      <xdr:spPr>
        <a:xfrm>
          <a:off x="990600" y="15268575"/>
          <a:ext cx="266700" cy="428625"/>
        </a:xfrm>
        <a:prstGeom prst="rect">
          <a:avLst/>
        </a:prstGeom>
        <a:noFill/>
        <a:ln w="9525" cmpd="sng">
          <a:noFill/>
        </a:ln>
      </xdr:spPr>
    </xdr:pic>
    <xdr:clientData/>
  </xdr:twoCellAnchor>
  <xdr:twoCellAnchor>
    <xdr:from>
      <xdr:col>9</xdr:col>
      <xdr:colOff>28575</xdr:colOff>
      <xdr:row>141</xdr:row>
      <xdr:rowOff>9525</xdr:rowOff>
    </xdr:from>
    <xdr:to>
      <xdr:col>9</xdr:col>
      <xdr:colOff>542925</xdr:colOff>
      <xdr:row>148</xdr:row>
      <xdr:rowOff>9525</xdr:rowOff>
    </xdr:to>
    <xdr:sp>
      <xdr:nvSpPr>
        <xdr:cNvPr id="14" name="AutoShape 25"/>
        <xdr:cNvSpPr>
          <a:spLocks/>
        </xdr:cNvSpPr>
      </xdr:nvSpPr>
      <xdr:spPr>
        <a:xfrm>
          <a:off x="8105775" y="26317575"/>
          <a:ext cx="514350" cy="1162050"/>
        </a:xfrm>
        <a:prstGeom prst="down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1838325</xdr:colOff>
      <xdr:row>174</xdr:row>
      <xdr:rowOff>57150</xdr:rowOff>
    </xdr:from>
    <xdr:to>
      <xdr:col>1</xdr:col>
      <xdr:colOff>2200275</xdr:colOff>
      <xdr:row>177</xdr:row>
      <xdr:rowOff>114300</xdr:rowOff>
    </xdr:to>
    <xdr:pic>
      <xdr:nvPicPr>
        <xdr:cNvPr id="15" name="Picture 26"/>
        <xdr:cNvPicPr preferRelativeResize="1">
          <a:picLocks noChangeAspect="1"/>
        </xdr:cNvPicPr>
      </xdr:nvPicPr>
      <xdr:blipFill>
        <a:blip r:embed="rId4"/>
        <a:stretch>
          <a:fillRect/>
        </a:stretch>
      </xdr:blipFill>
      <xdr:spPr>
        <a:xfrm>
          <a:off x="2190750" y="32489775"/>
          <a:ext cx="361950" cy="542925"/>
        </a:xfrm>
        <a:prstGeom prst="rect">
          <a:avLst/>
        </a:prstGeom>
        <a:noFill/>
        <a:ln w="9525" cmpd="sng">
          <a:noFill/>
        </a:ln>
      </xdr:spPr>
    </xdr:pic>
    <xdr:clientData/>
  </xdr:twoCellAnchor>
  <xdr:twoCellAnchor editAs="oneCell">
    <xdr:from>
      <xdr:col>1</xdr:col>
      <xdr:colOff>2152650</xdr:colOff>
      <xdr:row>174</xdr:row>
      <xdr:rowOff>152400</xdr:rowOff>
    </xdr:from>
    <xdr:to>
      <xdr:col>1</xdr:col>
      <xdr:colOff>2714625</xdr:colOff>
      <xdr:row>177</xdr:row>
      <xdr:rowOff>161925</xdr:rowOff>
    </xdr:to>
    <xdr:pic>
      <xdr:nvPicPr>
        <xdr:cNvPr id="16" name="Picture 27"/>
        <xdr:cNvPicPr preferRelativeResize="1">
          <a:picLocks noChangeAspect="1"/>
        </xdr:cNvPicPr>
      </xdr:nvPicPr>
      <xdr:blipFill>
        <a:blip r:embed="rId8"/>
        <a:stretch>
          <a:fillRect/>
        </a:stretch>
      </xdr:blipFill>
      <xdr:spPr>
        <a:xfrm>
          <a:off x="2505075" y="32585025"/>
          <a:ext cx="561975" cy="495300"/>
        </a:xfrm>
        <a:prstGeom prst="rect">
          <a:avLst/>
        </a:prstGeom>
        <a:noFill/>
        <a:ln w="9525" cmpd="sng">
          <a:noFill/>
        </a:ln>
      </xdr:spPr>
    </xdr:pic>
    <xdr:clientData/>
  </xdr:twoCellAnchor>
  <xdr:twoCellAnchor editAs="oneCell">
    <xdr:from>
      <xdr:col>3</xdr:col>
      <xdr:colOff>133350</xdr:colOff>
      <xdr:row>172</xdr:row>
      <xdr:rowOff>57150</xdr:rowOff>
    </xdr:from>
    <xdr:to>
      <xdr:col>6</xdr:col>
      <xdr:colOff>638175</xdr:colOff>
      <xdr:row>177</xdr:row>
      <xdr:rowOff>152400</xdr:rowOff>
    </xdr:to>
    <xdr:pic>
      <xdr:nvPicPr>
        <xdr:cNvPr id="17" name="Picture 28"/>
        <xdr:cNvPicPr preferRelativeResize="1">
          <a:picLocks noChangeAspect="1"/>
        </xdr:cNvPicPr>
      </xdr:nvPicPr>
      <xdr:blipFill>
        <a:blip r:embed="rId5"/>
        <a:stretch>
          <a:fillRect/>
        </a:stretch>
      </xdr:blipFill>
      <xdr:spPr>
        <a:xfrm>
          <a:off x="4905375" y="32165925"/>
          <a:ext cx="2381250" cy="904875"/>
        </a:xfrm>
        <a:prstGeom prst="rect">
          <a:avLst/>
        </a:prstGeom>
        <a:noFill/>
        <a:ln w="9525" cmpd="sng">
          <a:noFill/>
        </a:ln>
      </xdr:spPr>
    </xdr:pic>
    <xdr:clientData/>
  </xdr:twoCellAnchor>
  <xdr:twoCellAnchor editAs="oneCell">
    <xdr:from>
      <xdr:col>0</xdr:col>
      <xdr:colOff>342900</xdr:colOff>
      <xdr:row>174</xdr:row>
      <xdr:rowOff>133350</xdr:rowOff>
    </xdr:from>
    <xdr:to>
      <xdr:col>1</xdr:col>
      <xdr:colOff>552450</xdr:colOff>
      <xdr:row>177</xdr:row>
      <xdr:rowOff>142875</xdr:rowOff>
    </xdr:to>
    <xdr:pic>
      <xdr:nvPicPr>
        <xdr:cNvPr id="18" name="Picture 29"/>
        <xdr:cNvPicPr preferRelativeResize="1">
          <a:picLocks noChangeAspect="1"/>
        </xdr:cNvPicPr>
      </xdr:nvPicPr>
      <xdr:blipFill>
        <a:blip r:embed="rId8"/>
        <a:stretch>
          <a:fillRect/>
        </a:stretch>
      </xdr:blipFill>
      <xdr:spPr>
        <a:xfrm>
          <a:off x="342900" y="32565975"/>
          <a:ext cx="561975" cy="495300"/>
        </a:xfrm>
        <a:prstGeom prst="rect">
          <a:avLst/>
        </a:prstGeom>
        <a:noFill/>
        <a:ln w="9525" cmpd="sng">
          <a:noFill/>
        </a:ln>
      </xdr:spPr>
    </xdr:pic>
    <xdr:clientData/>
  </xdr:twoCellAnchor>
  <xdr:twoCellAnchor editAs="oneCell">
    <xdr:from>
      <xdr:col>0</xdr:col>
      <xdr:colOff>342900</xdr:colOff>
      <xdr:row>174</xdr:row>
      <xdr:rowOff>133350</xdr:rowOff>
    </xdr:from>
    <xdr:to>
      <xdr:col>1</xdr:col>
      <xdr:colOff>552450</xdr:colOff>
      <xdr:row>177</xdr:row>
      <xdr:rowOff>142875</xdr:rowOff>
    </xdr:to>
    <xdr:pic>
      <xdr:nvPicPr>
        <xdr:cNvPr id="19" name="Picture 30"/>
        <xdr:cNvPicPr preferRelativeResize="1">
          <a:picLocks noChangeAspect="1"/>
        </xdr:cNvPicPr>
      </xdr:nvPicPr>
      <xdr:blipFill>
        <a:blip r:embed="rId8"/>
        <a:stretch>
          <a:fillRect/>
        </a:stretch>
      </xdr:blipFill>
      <xdr:spPr>
        <a:xfrm>
          <a:off x="342900" y="32565975"/>
          <a:ext cx="561975" cy="495300"/>
        </a:xfrm>
        <a:prstGeom prst="rect">
          <a:avLst/>
        </a:prstGeom>
        <a:noFill/>
        <a:ln w="9525" cmpd="sng">
          <a:noFill/>
        </a:ln>
      </xdr:spPr>
    </xdr:pic>
    <xdr:clientData/>
  </xdr:twoCellAnchor>
  <xdr:twoCellAnchor>
    <xdr:from>
      <xdr:col>10</xdr:col>
      <xdr:colOff>838200</xdr:colOff>
      <xdr:row>203</xdr:row>
      <xdr:rowOff>0</xdr:rowOff>
    </xdr:from>
    <xdr:to>
      <xdr:col>10</xdr:col>
      <xdr:colOff>2476500</xdr:colOff>
      <xdr:row>203</xdr:row>
      <xdr:rowOff>0</xdr:rowOff>
    </xdr:to>
    <xdr:sp>
      <xdr:nvSpPr>
        <xdr:cNvPr id="20" name="AutoShape 31"/>
        <xdr:cNvSpPr>
          <a:spLocks/>
        </xdr:cNvSpPr>
      </xdr:nvSpPr>
      <xdr:spPr>
        <a:xfrm>
          <a:off x="9534525" y="37414200"/>
          <a:ext cx="1638300" cy="0"/>
        </a:xfrm>
        <a:prstGeom prst="wedgeRoundRectCallout">
          <a:avLst>
            <a:gd name="adj1" fmla="val -36629"/>
            <a:gd name="adj2" fmla="val -8750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Figure in green block used to balance work-load between crew-members 1 &amp; 2</a:t>
          </a:r>
        </a:p>
      </xdr:txBody>
    </xdr:sp>
    <xdr:clientData/>
  </xdr:twoCellAnchor>
  <xdr:twoCellAnchor>
    <xdr:from>
      <xdr:col>7</xdr:col>
      <xdr:colOff>47625</xdr:colOff>
      <xdr:row>210</xdr:row>
      <xdr:rowOff>76200</xdr:rowOff>
    </xdr:from>
    <xdr:to>
      <xdr:col>14</xdr:col>
      <xdr:colOff>523875</xdr:colOff>
      <xdr:row>210</xdr:row>
      <xdr:rowOff>85725</xdr:rowOff>
    </xdr:to>
    <xdr:sp>
      <xdr:nvSpPr>
        <xdr:cNvPr id="21" name="AutoShape 32"/>
        <xdr:cNvSpPr>
          <a:spLocks/>
        </xdr:cNvSpPr>
      </xdr:nvSpPr>
      <xdr:spPr>
        <a:xfrm>
          <a:off x="7391400" y="38642925"/>
          <a:ext cx="6724650" cy="9525"/>
        </a:xfrm>
        <a:custGeom>
          <a:pathLst>
            <a:path h="1" w="736">
              <a:moveTo>
                <a:pt x="0" y="0"/>
              </a:moveTo>
              <a:lnTo>
                <a:pt x="736"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215</xdr:row>
      <xdr:rowOff>85725</xdr:rowOff>
    </xdr:from>
    <xdr:to>
      <xdr:col>14</xdr:col>
      <xdr:colOff>523875</xdr:colOff>
      <xdr:row>215</xdr:row>
      <xdr:rowOff>95250</xdr:rowOff>
    </xdr:to>
    <xdr:sp>
      <xdr:nvSpPr>
        <xdr:cNvPr id="22" name="Line 33"/>
        <xdr:cNvSpPr>
          <a:spLocks/>
        </xdr:cNvSpPr>
      </xdr:nvSpPr>
      <xdr:spPr>
        <a:xfrm flipV="1">
          <a:off x="7400925" y="39509700"/>
          <a:ext cx="67151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237</xdr:row>
      <xdr:rowOff>0</xdr:rowOff>
    </xdr:from>
    <xdr:to>
      <xdr:col>10</xdr:col>
      <xdr:colOff>123825</xdr:colOff>
      <xdr:row>244</xdr:row>
      <xdr:rowOff>152400</xdr:rowOff>
    </xdr:to>
    <xdr:sp>
      <xdr:nvSpPr>
        <xdr:cNvPr id="23" name="AutoShape 34"/>
        <xdr:cNvSpPr>
          <a:spLocks/>
        </xdr:cNvSpPr>
      </xdr:nvSpPr>
      <xdr:spPr>
        <a:xfrm>
          <a:off x="8077200" y="43376850"/>
          <a:ext cx="742950" cy="1314450"/>
        </a:xfrm>
        <a:prstGeom prst="down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1171575</xdr:colOff>
      <xdr:row>62</xdr:row>
      <xdr:rowOff>180975</xdr:rowOff>
    </xdr:from>
    <xdr:to>
      <xdr:col>11</xdr:col>
      <xdr:colOff>85725</xdr:colOff>
      <xdr:row>67</xdr:row>
      <xdr:rowOff>190500</xdr:rowOff>
    </xdr:to>
    <xdr:sp>
      <xdr:nvSpPr>
        <xdr:cNvPr id="24" name="AutoShape 47"/>
        <xdr:cNvSpPr>
          <a:spLocks/>
        </xdr:cNvSpPr>
      </xdr:nvSpPr>
      <xdr:spPr>
        <a:xfrm>
          <a:off x="9867900" y="12325350"/>
          <a:ext cx="1857375" cy="1123950"/>
        </a:xfrm>
        <a:prstGeom prst="wedgeRoundRectCallout">
          <a:avLst>
            <a:gd name="adj1" fmla="val -88787"/>
            <a:gd name="adj2" fmla="val 22879"/>
          </a:avLst>
        </a:prstGeom>
        <a:solidFill>
          <a:srgbClr val="FF99CC"/>
        </a:solidFill>
        <a:ln w="12700"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These times are carried to cells K76 &amp; L76 of sheet: "Transport Costs" </a:t>
          </a:r>
        </a:p>
      </xdr:txBody>
    </xdr:sp>
    <xdr:clientData/>
  </xdr:twoCellAnchor>
  <xdr:twoCellAnchor>
    <xdr:from>
      <xdr:col>10</xdr:col>
      <xdr:colOff>123825</xdr:colOff>
      <xdr:row>63</xdr:row>
      <xdr:rowOff>85725</xdr:rowOff>
    </xdr:from>
    <xdr:to>
      <xdr:col>10</xdr:col>
      <xdr:colOff>466725</xdr:colOff>
      <xdr:row>69</xdr:row>
      <xdr:rowOff>114300</xdr:rowOff>
    </xdr:to>
    <xdr:sp>
      <xdr:nvSpPr>
        <xdr:cNvPr id="25" name="AutoShape 49"/>
        <xdr:cNvSpPr>
          <a:spLocks/>
        </xdr:cNvSpPr>
      </xdr:nvSpPr>
      <xdr:spPr>
        <a:xfrm>
          <a:off x="8820150" y="12430125"/>
          <a:ext cx="342900" cy="140017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256</xdr:row>
      <xdr:rowOff>123825</xdr:rowOff>
    </xdr:from>
    <xdr:to>
      <xdr:col>10</xdr:col>
      <xdr:colOff>1057275</xdr:colOff>
      <xdr:row>262</xdr:row>
      <xdr:rowOff>152400</xdr:rowOff>
    </xdr:to>
    <xdr:sp>
      <xdr:nvSpPr>
        <xdr:cNvPr id="26" name="AutoShape 51"/>
        <xdr:cNvSpPr>
          <a:spLocks/>
        </xdr:cNvSpPr>
      </xdr:nvSpPr>
      <xdr:spPr>
        <a:xfrm>
          <a:off x="9296400" y="46786800"/>
          <a:ext cx="457200" cy="140017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161</xdr:row>
      <xdr:rowOff>104775</xdr:rowOff>
    </xdr:from>
    <xdr:to>
      <xdr:col>10</xdr:col>
      <xdr:colOff>1019175</xdr:colOff>
      <xdr:row>167</xdr:row>
      <xdr:rowOff>123825</xdr:rowOff>
    </xdr:to>
    <xdr:sp>
      <xdr:nvSpPr>
        <xdr:cNvPr id="27" name="AutoShape 52"/>
        <xdr:cNvSpPr>
          <a:spLocks/>
        </xdr:cNvSpPr>
      </xdr:nvSpPr>
      <xdr:spPr>
        <a:xfrm>
          <a:off x="9267825" y="29937075"/>
          <a:ext cx="447675" cy="1238250"/>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1647825</xdr:colOff>
      <xdr:row>160</xdr:row>
      <xdr:rowOff>85725</xdr:rowOff>
    </xdr:from>
    <xdr:to>
      <xdr:col>11</xdr:col>
      <xdr:colOff>561975</xdr:colOff>
      <xdr:row>165</xdr:row>
      <xdr:rowOff>180975</xdr:rowOff>
    </xdr:to>
    <xdr:sp>
      <xdr:nvSpPr>
        <xdr:cNvPr id="28" name="AutoShape 53"/>
        <xdr:cNvSpPr>
          <a:spLocks/>
        </xdr:cNvSpPr>
      </xdr:nvSpPr>
      <xdr:spPr>
        <a:xfrm>
          <a:off x="10344150" y="29718000"/>
          <a:ext cx="1857375" cy="1123950"/>
        </a:xfrm>
        <a:prstGeom prst="wedgeRoundRectCallout">
          <a:avLst>
            <a:gd name="adj1" fmla="val -88787"/>
            <a:gd name="adj2" fmla="val 22879"/>
          </a:avLst>
        </a:prstGeom>
        <a:solidFill>
          <a:srgbClr val="FF99CC"/>
        </a:solidFill>
        <a:ln w="12700"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These times are carried to cells K77 &amp; L77
 of sheet: "Transport Costs" </a:t>
          </a:r>
        </a:p>
      </xdr:txBody>
    </xdr:sp>
    <xdr:clientData/>
  </xdr:twoCellAnchor>
  <xdr:twoCellAnchor>
    <xdr:from>
      <xdr:col>10</xdr:col>
      <xdr:colOff>1724025</xdr:colOff>
      <xdr:row>256</xdr:row>
      <xdr:rowOff>9525</xdr:rowOff>
    </xdr:from>
    <xdr:to>
      <xdr:col>12</xdr:col>
      <xdr:colOff>28575</xdr:colOff>
      <xdr:row>260</xdr:row>
      <xdr:rowOff>219075</xdr:rowOff>
    </xdr:to>
    <xdr:sp>
      <xdr:nvSpPr>
        <xdr:cNvPr id="29" name="AutoShape 54"/>
        <xdr:cNvSpPr>
          <a:spLocks/>
        </xdr:cNvSpPr>
      </xdr:nvSpPr>
      <xdr:spPr>
        <a:xfrm>
          <a:off x="10420350" y="46672500"/>
          <a:ext cx="1857375" cy="1123950"/>
        </a:xfrm>
        <a:prstGeom prst="wedgeRoundRectCallout">
          <a:avLst>
            <a:gd name="adj1" fmla="val -88787"/>
            <a:gd name="adj2" fmla="val 22879"/>
          </a:avLst>
        </a:prstGeom>
        <a:solidFill>
          <a:srgbClr val="FF99CC"/>
        </a:solidFill>
        <a:ln w="12700"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These times are carried to cells K78 &amp; L78
 of sheet: "Transport Costs" </a:t>
          </a:r>
        </a:p>
      </xdr:txBody>
    </xdr:sp>
    <xdr:clientData/>
  </xdr:twoCellAnchor>
  <xdr:twoCellAnchor>
    <xdr:from>
      <xdr:col>10</xdr:col>
      <xdr:colOff>1485900</xdr:colOff>
      <xdr:row>19</xdr:row>
      <xdr:rowOff>66675</xdr:rowOff>
    </xdr:from>
    <xdr:to>
      <xdr:col>12</xdr:col>
      <xdr:colOff>85725</xdr:colOff>
      <xdr:row>25</xdr:row>
      <xdr:rowOff>47625</xdr:rowOff>
    </xdr:to>
    <xdr:sp>
      <xdr:nvSpPr>
        <xdr:cNvPr id="30" name="AutoShape 55"/>
        <xdr:cNvSpPr>
          <a:spLocks/>
        </xdr:cNvSpPr>
      </xdr:nvSpPr>
      <xdr:spPr>
        <a:xfrm>
          <a:off x="10182225" y="4067175"/>
          <a:ext cx="2152650" cy="1028700"/>
        </a:xfrm>
        <a:prstGeom prst="wedgeRoundRectCallout">
          <a:avLst>
            <a:gd name="adj1" fmla="val 3740"/>
            <a:gd name="adj2" fmla="val 174097"/>
          </a:avLst>
        </a:prstGeom>
        <a:solidFill>
          <a:srgbClr val="FF99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Instead of idling, crew member # 2 assists crew member # 1 with collecting boxes from the storage area. </a:t>
          </a:r>
        </a:p>
      </xdr:txBody>
    </xdr:sp>
    <xdr:clientData/>
  </xdr:twoCellAnchor>
  <xdr:twoCellAnchor>
    <xdr:from>
      <xdr:col>5</xdr:col>
      <xdr:colOff>180975</xdr:colOff>
      <xdr:row>29</xdr:row>
      <xdr:rowOff>85725</xdr:rowOff>
    </xdr:from>
    <xdr:to>
      <xdr:col>13</xdr:col>
      <xdr:colOff>295275</xdr:colOff>
      <xdr:row>33</xdr:row>
      <xdr:rowOff>66675</xdr:rowOff>
    </xdr:to>
    <xdr:sp>
      <xdr:nvSpPr>
        <xdr:cNvPr id="31" name="AutoShape 57"/>
        <xdr:cNvSpPr>
          <a:spLocks/>
        </xdr:cNvSpPr>
      </xdr:nvSpPr>
      <xdr:spPr>
        <a:xfrm>
          <a:off x="6219825" y="5905500"/>
          <a:ext cx="6934200" cy="638175"/>
        </a:xfrm>
        <a:prstGeom prst="straightConnector1">
          <a:avLst/>
        </a:prstGeom>
        <a:noFill/>
        <a:ln w="31750" cmpd="sng">
          <a:solidFill>
            <a:srgbClr val="FF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56</xdr:row>
      <xdr:rowOff>152400</xdr:rowOff>
    </xdr:from>
    <xdr:to>
      <xdr:col>12</xdr:col>
      <xdr:colOff>333375</xdr:colOff>
      <xdr:row>58</xdr:row>
      <xdr:rowOff>9525</xdr:rowOff>
    </xdr:to>
    <xdr:sp>
      <xdr:nvSpPr>
        <xdr:cNvPr id="32" name="AutoShape 61"/>
        <xdr:cNvSpPr>
          <a:spLocks/>
        </xdr:cNvSpPr>
      </xdr:nvSpPr>
      <xdr:spPr>
        <a:xfrm flipV="1">
          <a:off x="6105525" y="11191875"/>
          <a:ext cx="6477000" cy="190500"/>
        </a:xfrm>
        <a:prstGeom prst="straightConnector1">
          <a:avLst/>
        </a:prstGeom>
        <a:noFill/>
        <a:ln w="31750" cmpd="sng">
          <a:solidFill>
            <a:srgbClr val="FF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47</xdr:row>
      <xdr:rowOff>38100</xdr:rowOff>
    </xdr:from>
    <xdr:to>
      <xdr:col>10</xdr:col>
      <xdr:colOff>352425</xdr:colOff>
      <xdr:row>51</xdr:row>
      <xdr:rowOff>104775</xdr:rowOff>
    </xdr:to>
    <xdr:sp>
      <xdr:nvSpPr>
        <xdr:cNvPr id="33" name="AutoShape 62"/>
        <xdr:cNvSpPr>
          <a:spLocks/>
        </xdr:cNvSpPr>
      </xdr:nvSpPr>
      <xdr:spPr>
        <a:xfrm>
          <a:off x="7181850" y="9467850"/>
          <a:ext cx="1866900" cy="714375"/>
        </a:xfrm>
        <a:prstGeom prst="wedgeRoundRectCallout">
          <a:avLst>
            <a:gd name="adj1" fmla="val 6754"/>
            <a:gd name="adj2" fmla="val 210342"/>
          </a:avLst>
        </a:prstGeom>
        <a:solidFill>
          <a:srgbClr val="FF99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In this case, instead of idling, crew member # 1 assists crew member # 2</a:t>
          </a:r>
        </a:p>
      </xdr:txBody>
    </xdr:sp>
    <xdr:clientData/>
  </xdr:twoCellAnchor>
  <xdr:twoCellAnchor>
    <xdr:from>
      <xdr:col>7</xdr:col>
      <xdr:colOff>114300</xdr:colOff>
      <xdr:row>34</xdr:row>
      <xdr:rowOff>114300</xdr:rowOff>
    </xdr:from>
    <xdr:to>
      <xdr:col>15</xdr:col>
      <xdr:colOff>142875</xdr:colOff>
      <xdr:row>36</xdr:row>
      <xdr:rowOff>152400</xdr:rowOff>
    </xdr:to>
    <xdr:sp>
      <xdr:nvSpPr>
        <xdr:cNvPr id="34" name="AutoShape 63"/>
        <xdr:cNvSpPr>
          <a:spLocks/>
        </xdr:cNvSpPr>
      </xdr:nvSpPr>
      <xdr:spPr>
        <a:xfrm flipV="1">
          <a:off x="7458075" y="6762750"/>
          <a:ext cx="7010400" cy="447675"/>
        </a:xfrm>
        <a:prstGeom prst="bentConnector3">
          <a:avLst>
            <a:gd name="adj1" fmla="val 111694"/>
            <a:gd name="adj2" fmla="val 1610638"/>
            <a:gd name="adj3" fmla="val -91361"/>
          </a:avLst>
        </a:prstGeom>
        <a:noFill/>
        <a:ln w="31750" cmpd="sng">
          <a:solidFill>
            <a:srgbClr val="0033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1971675</xdr:colOff>
      <xdr:row>37</xdr:row>
      <xdr:rowOff>228600</xdr:rowOff>
    </xdr:from>
    <xdr:to>
      <xdr:col>13</xdr:col>
      <xdr:colOff>104775</xdr:colOff>
      <xdr:row>40</xdr:row>
      <xdr:rowOff>161925</xdr:rowOff>
    </xdr:to>
    <xdr:sp>
      <xdr:nvSpPr>
        <xdr:cNvPr id="35" name="AutoShape 65"/>
        <xdr:cNvSpPr>
          <a:spLocks/>
        </xdr:cNvSpPr>
      </xdr:nvSpPr>
      <xdr:spPr>
        <a:xfrm>
          <a:off x="10668000" y="7543800"/>
          <a:ext cx="2295525" cy="495300"/>
        </a:xfrm>
        <a:prstGeom prst="wedgeRoundRectCallout">
          <a:avLst>
            <a:gd name="adj1" fmla="val -32912"/>
            <a:gd name="adj2" fmla="val -117500"/>
          </a:avLst>
        </a:prstGeom>
        <a:solidFill>
          <a:srgbClr val="FF99CC"/>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Total variable time for each worker is similar</a:t>
          </a:r>
        </a:p>
      </xdr:txBody>
    </xdr:sp>
    <xdr:clientData/>
  </xdr:twoCellAnchor>
  <xdr:twoCellAnchor>
    <xdr:from>
      <xdr:col>7</xdr:col>
      <xdr:colOff>104775</xdr:colOff>
      <xdr:row>59</xdr:row>
      <xdr:rowOff>123825</xdr:rowOff>
    </xdr:from>
    <xdr:to>
      <xdr:col>15</xdr:col>
      <xdr:colOff>228600</xdr:colOff>
      <xdr:row>61</xdr:row>
      <xdr:rowOff>133350</xdr:rowOff>
    </xdr:to>
    <xdr:sp>
      <xdr:nvSpPr>
        <xdr:cNvPr id="36" name="AutoShape 66"/>
        <xdr:cNvSpPr>
          <a:spLocks/>
        </xdr:cNvSpPr>
      </xdr:nvSpPr>
      <xdr:spPr>
        <a:xfrm>
          <a:off x="7448550" y="11668125"/>
          <a:ext cx="7105650" cy="409575"/>
        </a:xfrm>
        <a:prstGeom prst="bentConnector3">
          <a:avLst>
            <a:gd name="adj1" fmla="val 105763"/>
            <a:gd name="adj2" fmla="val -2844185"/>
            <a:gd name="adj3" fmla="val -90083"/>
          </a:avLst>
        </a:prstGeom>
        <a:noFill/>
        <a:ln w="3175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63</xdr:row>
      <xdr:rowOff>104775</xdr:rowOff>
    </xdr:from>
    <xdr:to>
      <xdr:col>15</xdr:col>
      <xdr:colOff>133350</xdr:colOff>
      <xdr:row>65</xdr:row>
      <xdr:rowOff>142875</xdr:rowOff>
    </xdr:to>
    <xdr:sp>
      <xdr:nvSpPr>
        <xdr:cNvPr id="37" name="AutoShape 67"/>
        <xdr:cNvSpPr>
          <a:spLocks/>
        </xdr:cNvSpPr>
      </xdr:nvSpPr>
      <xdr:spPr>
        <a:xfrm>
          <a:off x="12449175" y="12449175"/>
          <a:ext cx="2009775" cy="495300"/>
        </a:xfrm>
        <a:prstGeom prst="wedgeRoundRectCallout">
          <a:avLst>
            <a:gd name="adj1" fmla="val -46226"/>
            <a:gd name="adj2" fmla="val -211537"/>
          </a:avLst>
        </a:prstGeom>
        <a:solidFill>
          <a:srgbClr val="FF99CC"/>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Total variable time for each worker is similar</a:t>
          </a:r>
        </a:p>
      </xdr:txBody>
    </xdr:sp>
    <xdr:clientData/>
  </xdr:twoCellAnchor>
  <xdr:twoCellAnchor>
    <xdr:from>
      <xdr:col>5</xdr:col>
      <xdr:colOff>104775</xdr:colOff>
      <xdr:row>100</xdr:row>
      <xdr:rowOff>104775</xdr:rowOff>
    </xdr:from>
    <xdr:to>
      <xdr:col>13</xdr:col>
      <xdr:colOff>504825</xdr:colOff>
      <xdr:row>109</xdr:row>
      <xdr:rowOff>85725</xdr:rowOff>
    </xdr:to>
    <xdr:sp>
      <xdr:nvSpPr>
        <xdr:cNvPr id="38" name="AutoShape 68"/>
        <xdr:cNvSpPr>
          <a:spLocks/>
        </xdr:cNvSpPr>
      </xdr:nvSpPr>
      <xdr:spPr>
        <a:xfrm flipV="1">
          <a:off x="6143625" y="19354800"/>
          <a:ext cx="7219950" cy="1457325"/>
        </a:xfrm>
        <a:prstGeom prst="straightConnector1">
          <a:avLst/>
        </a:prstGeom>
        <a:noFill/>
        <a:ln w="31750" cmpd="sng">
          <a:solidFill>
            <a:srgbClr val="FF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133350</xdr:colOff>
      <xdr:row>267</xdr:row>
      <xdr:rowOff>57150</xdr:rowOff>
    </xdr:from>
    <xdr:to>
      <xdr:col>6</xdr:col>
      <xdr:colOff>638175</xdr:colOff>
      <xdr:row>272</xdr:row>
      <xdr:rowOff>152400</xdr:rowOff>
    </xdr:to>
    <xdr:pic>
      <xdr:nvPicPr>
        <xdr:cNvPr id="39" name="Picture 71"/>
        <xdr:cNvPicPr preferRelativeResize="1">
          <a:picLocks noChangeAspect="1"/>
        </xdr:cNvPicPr>
      </xdr:nvPicPr>
      <xdr:blipFill>
        <a:blip r:embed="rId5"/>
        <a:stretch>
          <a:fillRect/>
        </a:stretch>
      </xdr:blipFill>
      <xdr:spPr>
        <a:xfrm>
          <a:off x="4905375" y="49139475"/>
          <a:ext cx="2381250" cy="904875"/>
        </a:xfrm>
        <a:prstGeom prst="rect">
          <a:avLst/>
        </a:prstGeom>
        <a:noFill/>
        <a:ln w="9525" cmpd="sng">
          <a:noFill/>
        </a:ln>
      </xdr:spPr>
    </xdr:pic>
    <xdr:clientData/>
  </xdr:twoCellAnchor>
  <xdr:twoCellAnchor>
    <xdr:from>
      <xdr:col>10</xdr:col>
      <xdr:colOff>838200</xdr:colOff>
      <xdr:row>300</xdr:row>
      <xdr:rowOff>0</xdr:rowOff>
    </xdr:from>
    <xdr:to>
      <xdr:col>10</xdr:col>
      <xdr:colOff>2476500</xdr:colOff>
      <xdr:row>300</xdr:row>
      <xdr:rowOff>0</xdr:rowOff>
    </xdr:to>
    <xdr:sp>
      <xdr:nvSpPr>
        <xdr:cNvPr id="40" name="AutoShape 74"/>
        <xdr:cNvSpPr>
          <a:spLocks/>
        </xdr:cNvSpPr>
      </xdr:nvSpPr>
      <xdr:spPr>
        <a:xfrm>
          <a:off x="9534525" y="54702075"/>
          <a:ext cx="1638300" cy="0"/>
        </a:xfrm>
        <a:prstGeom prst="wedgeRoundRectCallout">
          <a:avLst>
            <a:gd name="adj1" fmla="val -36629"/>
            <a:gd name="adj2" fmla="val -8750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Figure in green block used to balance work-load between crew-members 1 &amp; 2</a:t>
          </a:r>
        </a:p>
      </xdr:txBody>
    </xdr:sp>
    <xdr:clientData/>
  </xdr:twoCellAnchor>
  <xdr:twoCellAnchor>
    <xdr:from>
      <xdr:col>10</xdr:col>
      <xdr:colOff>600075</xdr:colOff>
      <xdr:row>348</xdr:row>
      <xdr:rowOff>123825</xdr:rowOff>
    </xdr:from>
    <xdr:to>
      <xdr:col>10</xdr:col>
      <xdr:colOff>1057275</xdr:colOff>
      <xdr:row>355</xdr:row>
      <xdr:rowOff>152400</xdr:rowOff>
    </xdr:to>
    <xdr:sp>
      <xdr:nvSpPr>
        <xdr:cNvPr id="41" name="AutoShape 78"/>
        <xdr:cNvSpPr>
          <a:spLocks/>
        </xdr:cNvSpPr>
      </xdr:nvSpPr>
      <xdr:spPr>
        <a:xfrm>
          <a:off x="9296400" y="63293625"/>
          <a:ext cx="457200" cy="162877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1724025</xdr:colOff>
      <xdr:row>348</xdr:row>
      <xdr:rowOff>9525</xdr:rowOff>
    </xdr:from>
    <xdr:to>
      <xdr:col>12</xdr:col>
      <xdr:colOff>28575</xdr:colOff>
      <xdr:row>352</xdr:row>
      <xdr:rowOff>219075</xdr:rowOff>
    </xdr:to>
    <xdr:sp>
      <xdr:nvSpPr>
        <xdr:cNvPr id="42" name="AutoShape 79"/>
        <xdr:cNvSpPr>
          <a:spLocks/>
        </xdr:cNvSpPr>
      </xdr:nvSpPr>
      <xdr:spPr>
        <a:xfrm>
          <a:off x="10420350" y="63179325"/>
          <a:ext cx="1857375" cy="1123950"/>
        </a:xfrm>
        <a:prstGeom prst="wedgeRoundRectCallout">
          <a:avLst>
            <a:gd name="adj1" fmla="val -88787"/>
            <a:gd name="adj2" fmla="val 22879"/>
          </a:avLst>
        </a:prstGeom>
        <a:solidFill>
          <a:srgbClr val="FF99CC"/>
        </a:solidFill>
        <a:ln w="12700"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These times are carried to cells K81 &amp; L81
 of sheet: "Transport Costs" </a:t>
          </a:r>
        </a:p>
      </xdr:txBody>
    </xdr:sp>
    <xdr:clientData/>
  </xdr:twoCellAnchor>
  <xdr:twoCellAnchor>
    <xdr:from>
      <xdr:col>9</xdr:col>
      <xdr:colOff>66675</xdr:colOff>
      <xdr:row>335</xdr:row>
      <xdr:rowOff>38100</xdr:rowOff>
    </xdr:from>
    <xdr:to>
      <xdr:col>10</xdr:col>
      <xdr:colOff>9525</xdr:colOff>
      <xdr:row>339</xdr:row>
      <xdr:rowOff>28575</xdr:rowOff>
    </xdr:to>
    <xdr:sp>
      <xdr:nvSpPr>
        <xdr:cNvPr id="43" name="AutoShape 80"/>
        <xdr:cNvSpPr>
          <a:spLocks/>
        </xdr:cNvSpPr>
      </xdr:nvSpPr>
      <xdr:spPr>
        <a:xfrm>
          <a:off x="8143875" y="60893325"/>
          <a:ext cx="561975" cy="647700"/>
        </a:xfrm>
        <a:prstGeom prst="down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1790700</xdr:colOff>
      <xdr:row>363</xdr:row>
      <xdr:rowOff>57150</xdr:rowOff>
    </xdr:from>
    <xdr:to>
      <xdr:col>1</xdr:col>
      <xdr:colOff>2295525</xdr:colOff>
      <xdr:row>367</xdr:row>
      <xdr:rowOff>0</xdr:rowOff>
    </xdr:to>
    <xdr:pic>
      <xdr:nvPicPr>
        <xdr:cNvPr id="44" name="Picture 91"/>
        <xdr:cNvPicPr preferRelativeResize="1">
          <a:picLocks noChangeAspect="1"/>
        </xdr:cNvPicPr>
      </xdr:nvPicPr>
      <xdr:blipFill>
        <a:blip r:embed="rId1"/>
        <a:stretch>
          <a:fillRect/>
        </a:stretch>
      </xdr:blipFill>
      <xdr:spPr>
        <a:xfrm>
          <a:off x="2143125" y="66360675"/>
          <a:ext cx="504825" cy="600075"/>
        </a:xfrm>
        <a:prstGeom prst="rect">
          <a:avLst/>
        </a:prstGeom>
        <a:noFill/>
        <a:ln w="9525" cmpd="sng">
          <a:noFill/>
        </a:ln>
      </xdr:spPr>
    </xdr:pic>
    <xdr:clientData/>
  </xdr:twoCellAnchor>
  <xdr:twoCellAnchor editAs="oneCell">
    <xdr:from>
      <xdr:col>3</xdr:col>
      <xdr:colOff>304800</xdr:colOff>
      <xdr:row>361</xdr:row>
      <xdr:rowOff>28575</xdr:rowOff>
    </xdr:from>
    <xdr:to>
      <xdr:col>6</xdr:col>
      <xdr:colOff>561975</xdr:colOff>
      <xdr:row>367</xdr:row>
      <xdr:rowOff>0</xdr:rowOff>
    </xdr:to>
    <xdr:pic>
      <xdr:nvPicPr>
        <xdr:cNvPr id="45" name="Picture 92"/>
        <xdr:cNvPicPr preferRelativeResize="1">
          <a:picLocks noChangeAspect="1"/>
        </xdr:cNvPicPr>
      </xdr:nvPicPr>
      <xdr:blipFill>
        <a:blip r:embed="rId2"/>
        <a:stretch>
          <a:fillRect/>
        </a:stretch>
      </xdr:blipFill>
      <xdr:spPr>
        <a:xfrm>
          <a:off x="5076825" y="66008250"/>
          <a:ext cx="2133600" cy="952500"/>
        </a:xfrm>
        <a:prstGeom prst="rect">
          <a:avLst/>
        </a:prstGeom>
        <a:noFill/>
        <a:ln w="9525" cmpd="sng">
          <a:noFill/>
        </a:ln>
      </xdr:spPr>
    </xdr:pic>
    <xdr:clientData/>
  </xdr:twoCellAnchor>
  <xdr:twoCellAnchor editAs="oneCell">
    <xdr:from>
      <xdr:col>1</xdr:col>
      <xdr:colOff>228600</xdr:colOff>
      <xdr:row>365</xdr:row>
      <xdr:rowOff>38100</xdr:rowOff>
    </xdr:from>
    <xdr:to>
      <xdr:col>1</xdr:col>
      <xdr:colOff>447675</xdr:colOff>
      <xdr:row>366</xdr:row>
      <xdr:rowOff>152400</xdr:rowOff>
    </xdr:to>
    <xdr:pic>
      <xdr:nvPicPr>
        <xdr:cNvPr id="46" name="Picture 93"/>
        <xdr:cNvPicPr preferRelativeResize="1">
          <a:picLocks noChangeAspect="1"/>
        </xdr:cNvPicPr>
      </xdr:nvPicPr>
      <xdr:blipFill>
        <a:blip r:embed="rId3"/>
        <a:stretch>
          <a:fillRect/>
        </a:stretch>
      </xdr:blipFill>
      <xdr:spPr>
        <a:xfrm>
          <a:off x="581025" y="66665475"/>
          <a:ext cx="219075" cy="276225"/>
        </a:xfrm>
        <a:prstGeom prst="rect">
          <a:avLst/>
        </a:prstGeom>
        <a:noFill/>
        <a:ln w="9525" cmpd="sng">
          <a:noFill/>
        </a:ln>
      </xdr:spPr>
    </xdr:pic>
    <xdr:clientData/>
  </xdr:twoCellAnchor>
  <xdr:twoCellAnchor editAs="oneCell">
    <xdr:from>
      <xdr:col>1</xdr:col>
      <xdr:colOff>495300</xdr:colOff>
      <xdr:row>365</xdr:row>
      <xdr:rowOff>47625</xdr:rowOff>
    </xdr:from>
    <xdr:to>
      <xdr:col>1</xdr:col>
      <xdr:colOff>714375</xdr:colOff>
      <xdr:row>367</xdr:row>
      <xdr:rowOff>0</xdr:rowOff>
    </xdr:to>
    <xdr:pic>
      <xdr:nvPicPr>
        <xdr:cNvPr id="47" name="Picture 94"/>
        <xdr:cNvPicPr preferRelativeResize="1">
          <a:picLocks noChangeAspect="1"/>
        </xdr:cNvPicPr>
      </xdr:nvPicPr>
      <xdr:blipFill>
        <a:blip r:embed="rId3"/>
        <a:stretch>
          <a:fillRect/>
        </a:stretch>
      </xdr:blipFill>
      <xdr:spPr>
        <a:xfrm>
          <a:off x="847725" y="66675000"/>
          <a:ext cx="219075" cy="285750"/>
        </a:xfrm>
        <a:prstGeom prst="rect">
          <a:avLst/>
        </a:prstGeom>
        <a:noFill/>
        <a:ln w="9525" cmpd="sng">
          <a:noFill/>
        </a:ln>
      </xdr:spPr>
    </xdr:pic>
    <xdr:clientData/>
  </xdr:twoCellAnchor>
  <xdr:twoCellAnchor editAs="oneCell">
    <xdr:from>
      <xdr:col>1</xdr:col>
      <xdr:colOff>381000</xdr:colOff>
      <xdr:row>363</xdr:row>
      <xdr:rowOff>95250</xdr:rowOff>
    </xdr:from>
    <xdr:to>
      <xdr:col>1</xdr:col>
      <xdr:colOff>600075</xdr:colOff>
      <xdr:row>365</xdr:row>
      <xdr:rowOff>47625</xdr:rowOff>
    </xdr:to>
    <xdr:pic>
      <xdr:nvPicPr>
        <xdr:cNvPr id="48" name="Picture 95"/>
        <xdr:cNvPicPr preferRelativeResize="1">
          <a:picLocks noChangeAspect="1"/>
        </xdr:cNvPicPr>
      </xdr:nvPicPr>
      <xdr:blipFill>
        <a:blip r:embed="rId3"/>
        <a:stretch>
          <a:fillRect/>
        </a:stretch>
      </xdr:blipFill>
      <xdr:spPr>
        <a:xfrm>
          <a:off x="733425" y="66398775"/>
          <a:ext cx="219075" cy="276225"/>
        </a:xfrm>
        <a:prstGeom prst="rect">
          <a:avLst/>
        </a:prstGeom>
        <a:noFill/>
        <a:ln w="9525" cmpd="sng">
          <a:noFill/>
        </a:ln>
      </xdr:spPr>
    </xdr:pic>
    <xdr:clientData/>
  </xdr:twoCellAnchor>
  <xdr:twoCellAnchor>
    <xdr:from>
      <xdr:col>10</xdr:col>
      <xdr:colOff>1171575</xdr:colOff>
      <xdr:row>433</xdr:row>
      <xdr:rowOff>180975</xdr:rowOff>
    </xdr:from>
    <xdr:to>
      <xdr:col>11</xdr:col>
      <xdr:colOff>85725</xdr:colOff>
      <xdr:row>438</xdr:row>
      <xdr:rowOff>190500</xdr:rowOff>
    </xdr:to>
    <xdr:sp>
      <xdr:nvSpPr>
        <xdr:cNvPr id="49" name="AutoShape 96"/>
        <xdr:cNvSpPr>
          <a:spLocks/>
        </xdr:cNvSpPr>
      </xdr:nvSpPr>
      <xdr:spPr>
        <a:xfrm>
          <a:off x="9867900" y="79409925"/>
          <a:ext cx="1857375" cy="1123950"/>
        </a:xfrm>
        <a:prstGeom prst="wedgeRoundRectCallout">
          <a:avLst>
            <a:gd name="adj1" fmla="val -88787"/>
            <a:gd name="adj2" fmla="val 22879"/>
          </a:avLst>
        </a:prstGeom>
        <a:solidFill>
          <a:srgbClr val="FF99CC"/>
        </a:solidFill>
        <a:ln w="12700"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These times are carried to cells K76 &amp; L76 of sheet: "Transport Costs" </a:t>
          </a:r>
        </a:p>
      </xdr:txBody>
    </xdr:sp>
    <xdr:clientData/>
  </xdr:twoCellAnchor>
  <xdr:twoCellAnchor>
    <xdr:from>
      <xdr:col>10</xdr:col>
      <xdr:colOff>123825</xdr:colOff>
      <xdr:row>434</xdr:row>
      <xdr:rowOff>85725</xdr:rowOff>
    </xdr:from>
    <xdr:to>
      <xdr:col>10</xdr:col>
      <xdr:colOff>466725</xdr:colOff>
      <xdr:row>440</xdr:row>
      <xdr:rowOff>114300</xdr:rowOff>
    </xdr:to>
    <xdr:sp>
      <xdr:nvSpPr>
        <xdr:cNvPr id="50" name="AutoShape 97"/>
        <xdr:cNvSpPr>
          <a:spLocks/>
        </xdr:cNvSpPr>
      </xdr:nvSpPr>
      <xdr:spPr>
        <a:xfrm>
          <a:off x="8820150" y="79514700"/>
          <a:ext cx="342900" cy="140017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1485900</xdr:colOff>
      <xdr:row>374</xdr:row>
      <xdr:rowOff>66675</xdr:rowOff>
    </xdr:from>
    <xdr:to>
      <xdr:col>12</xdr:col>
      <xdr:colOff>85725</xdr:colOff>
      <xdr:row>380</xdr:row>
      <xdr:rowOff>47625</xdr:rowOff>
    </xdr:to>
    <xdr:sp>
      <xdr:nvSpPr>
        <xdr:cNvPr id="51" name="AutoShape 98"/>
        <xdr:cNvSpPr>
          <a:spLocks/>
        </xdr:cNvSpPr>
      </xdr:nvSpPr>
      <xdr:spPr>
        <a:xfrm>
          <a:off x="10182225" y="68627625"/>
          <a:ext cx="2152650" cy="1028700"/>
        </a:xfrm>
        <a:prstGeom prst="wedgeRoundRectCallout">
          <a:avLst>
            <a:gd name="adj1" fmla="val 3740"/>
            <a:gd name="adj2" fmla="val 174097"/>
          </a:avLst>
        </a:prstGeom>
        <a:solidFill>
          <a:srgbClr val="FF99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Instead of idling, crew member # 2 assists crew member # 1 with collecting boxes from the storage area. </a:t>
          </a:r>
        </a:p>
      </xdr:txBody>
    </xdr:sp>
    <xdr:clientData/>
  </xdr:twoCellAnchor>
  <xdr:twoCellAnchor>
    <xdr:from>
      <xdr:col>5</xdr:col>
      <xdr:colOff>266700</xdr:colOff>
      <xdr:row>394</xdr:row>
      <xdr:rowOff>104775</xdr:rowOff>
    </xdr:from>
    <xdr:to>
      <xdr:col>13</xdr:col>
      <xdr:colOff>381000</xdr:colOff>
      <xdr:row>398</xdr:row>
      <xdr:rowOff>85725</xdr:rowOff>
    </xdr:to>
    <xdr:sp>
      <xdr:nvSpPr>
        <xdr:cNvPr id="52" name="AutoShape 99"/>
        <xdr:cNvSpPr>
          <a:spLocks/>
        </xdr:cNvSpPr>
      </xdr:nvSpPr>
      <xdr:spPr>
        <a:xfrm>
          <a:off x="6305550" y="71999475"/>
          <a:ext cx="6934200" cy="638175"/>
        </a:xfrm>
        <a:prstGeom prst="straightConnector1">
          <a:avLst/>
        </a:prstGeom>
        <a:noFill/>
        <a:ln w="31750" cmpd="sng">
          <a:solidFill>
            <a:srgbClr val="FF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421</xdr:row>
      <xdr:rowOff>142875</xdr:rowOff>
    </xdr:from>
    <xdr:to>
      <xdr:col>13</xdr:col>
      <xdr:colOff>371475</xdr:colOff>
      <xdr:row>423</xdr:row>
      <xdr:rowOff>9525</xdr:rowOff>
    </xdr:to>
    <xdr:sp>
      <xdr:nvSpPr>
        <xdr:cNvPr id="53" name="AutoShape 100"/>
        <xdr:cNvSpPr>
          <a:spLocks/>
        </xdr:cNvSpPr>
      </xdr:nvSpPr>
      <xdr:spPr>
        <a:xfrm flipV="1">
          <a:off x="6105525" y="77266800"/>
          <a:ext cx="7124700" cy="200025"/>
        </a:xfrm>
        <a:prstGeom prst="straightConnector1">
          <a:avLst/>
        </a:prstGeom>
        <a:noFill/>
        <a:ln w="31750" cmpd="sng">
          <a:solidFill>
            <a:srgbClr val="FF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412</xdr:row>
      <xdr:rowOff>38100</xdr:rowOff>
    </xdr:from>
    <xdr:to>
      <xdr:col>10</xdr:col>
      <xdr:colOff>352425</xdr:colOff>
      <xdr:row>416</xdr:row>
      <xdr:rowOff>104775</xdr:rowOff>
    </xdr:to>
    <xdr:sp>
      <xdr:nvSpPr>
        <xdr:cNvPr id="54" name="AutoShape 101"/>
        <xdr:cNvSpPr>
          <a:spLocks/>
        </xdr:cNvSpPr>
      </xdr:nvSpPr>
      <xdr:spPr>
        <a:xfrm>
          <a:off x="7181850" y="75542775"/>
          <a:ext cx="1866900" cy="714375"/>
        </a:xfrm>
        <a:prstGeom prst="wedgeRoundRectCallout">
          <a:avLst>
            <a:gd name="adj1" fmla="val 6754"/>
            <a:gd name="adj2" fmla="val 210342"/>
          </a:avLst>
        </a:prstGeom>
        <a:solidFill>
          <a:srgbClr val="FF99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In this case, instead of idling, crew member # 1 assists crew member # 2</a:t>
          </a:r>
        </a:p>
      </xdr:txBody>
    </xdr:sp>
    <xdr:clientData/>
  </xdr:twoCellAnchor>
  <xdr:twoCellAnchor>
    <xdr:from>
      <xdr:col>7</xdr:col>
      <xdr:colOff>114300</xdr:colOff>
      <xdr:row>399</xdr:row>
      <xdr:rowOff>114300</xdr:rowOff>
    </xdr:from>
    <xdr:to>
      <xdr:col>15</xdr:col>
      <xdr:colOff>142875</xdr:colOff>
      <xdr:row>401</xdr:row>
      <xdr:rowOff>152400</xdr:rowOff>
    </xdr:to>
    <xdr:sp>
      <xdr:nvSpPr>
        <xdr:cNvPr id="55" name="AutoShape 102"/>
        <xdr:cNvSpPr>
          <a:spLocks/>
        </xdr:cNvSpPr>
      </xdr:nvSpPr>
      <xdr:spPr>
        <a:xfrm flipV="1">
          <a:off x="7458075" y="72837675"/>
          <a:ext cx="7010400" cy="447675"/>
        </a:xfrm>
        <a:prstGeom prst="bentConnector3">
          <a:avLst>
            <a:gd name="adj1" fmla="val 111694"/>
            <a:gd name="adj2" fmla="val 1610638"/>
            <a:gd name="adj3" fmla="val -91361"/>
          </a:avLst>
        </a:prstGeom>
        <a:noFill/>
        <a:ln w="31750" cmpd="sng">
          <a:solidFill>
            <a:srgbClr val="0033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1971675</xdr:colOff>
      <xdr:row>402</xdr:row>
      <xdr:rowOff>228600</xdr:rowOff>
    </xdr:from>
    <xdr:to>
      <xdr:col>13</xdr:col>
      <xdr:colOff>104775</xdr:colOff>
      <xdr:row>405</xdr:row>
      <xdr:rowOff>161925</xdr:rowOff>
    </xdr:to>
    <xdr:sp>
      <xdr:nvSpPr>
        <xdr:cNvPr id="56" name="AutoShape 103"/>
        <xdr:cNvSpPr>
          <a:spLocks/>
        </xdr:cNvSpPr>
      </xdr:nvSpPr>
      <xdr:spPr>
        <a:xfrm>
          <a:off x="10668000" y="73618725"/>
          <a:ext cx="2295525" cy="495300"/>
        </a:xfrm>
        <a:prstGeom prst="wedgeRoundRectCallout">
          <a:avLst>
            <a:gd name="adj1" fmla="val -32912"/>
            <a:gd name="adj2" fmla="val -117500"/>
          </a:avLst>
        </a:prstGeom>
        <a:solidFill>
          <a:srgbClr val="FF99CC"/>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Total variable time for each worker is similar</a:t>
          </a:r>
        </a:p>
      </xdr:txBody>
    </xdr:sp>
    <xdr:clientData/>
  </xdr:twoCellAnchor>
  <xdr:twoCellAnchor>
    <xdr:from>
      <xdr:col>7</xdr:col>
      <xdr:colOff>104775</xdr:colOff>
      <xdr:row>430</xdr:row>
      <xdr:rowOff>123825</xdr:rowOff>
    </xdr:from>
    <xdr:to>
      <xdr:col>15</xdr:col>
      <xdr:colOff>228600</xdr:colOff>
      <xdr:row>432</xdr:row>
      <xdr:rowOff>133350</xdr:rowOff>
    </xdr:to>
    <xdr:sp>
      <xdr:nvSpPr>
        <xdr:cNvPr id="57" name="AutoShape 104"/>
        <xdr:cNvSpPr>
          <a:spLocks/>
        </xdr:cNvSpPr>
      </xdr:nvSpPr>
      <xdr:spPr>
        <a:xfrm>
          <a:off x="7448550" y="78752700"/>
          <a:ext cx="7105650" cy="409575"/>
        </a:xfrm>
        <a:prstGeom prst="bentConnector3">
          <a:avLst>
            <a:gd name="adj1" fmla="val 105763"/>
            <a:gd name="adj2" fmla="val -2844185"/>
            <a:gd name="adj3" fmla="val -90083"/>
          </a:avLst>
        </a:prstGeom>
        <a:noFill/>
        <a:ln w="3175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434</xdr:row>
      <xdr:rowOff>104775</xdr:rowOff>
    </xdr:from>
    <xdr:to>
      <xdr:col>15</xdr:col>
      <xdr:colOff>133350</xdr:colOff>
      <xdr:row>436</xdr:row>
      <xdr:rowOff>142875</xdr:rowOff>
    </xdr:to>
    <xdr:sp>
      <xdr:nvSpPr>
        <xdr:cNvPr id="58" name="AutoShape 105"/>
        <xdr:cNvSpPr>
          <a:spLocks/>
        </xdr:cNvSpPr>
      </xdr:nvSpPr>
      <xdr:spPr>
        <a:xfrm>
          <a:off x="12449175" y="79533750"/>
          <a:ext cx="2009775" cy="495300"/>
        </a:xfrm>
        <a:prstGeom prst="wedgeRoundRectCallout">
          <a:avLst>
            <a:gd name="adj1" fmla="val -46226"/>
            <a:gd name="adj2" fmla="val -211537"/>
          </a:avLst>
        </a:prstGeom>
        <a:solidFill>
          <a:srgbClr val="FF99CC"/>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Total variable time for each worker is similar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ACEL%20HCRW%20status%20quo%20cost%20model%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st Summary"/>
      <sheetName val="Scenario Costs All Facilities"/>
      <sheetName val="Scenario costs Provincial"/>
      <sheetName val="HCRW generation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k@ramboll.dk" TargetMode="External" /><Relationship Id="rId2" Type="http://schemas.openxmlformats.org/officeDocument/2006/relationships/hyperlink" Target="mailto:johnc@ibex.co.za" TargetMode="External" /><Relationship Id="rId3" Type="http://schemas.openxmlformats.org/officeDocument/2006/relationships/hyperlink" Target="mailto:daveb@mweb.co.za" TargetMode="External" /><Relationship Id="rId4" Type="http://schemas.openxmlformats.org/officeDocument/2006/relationships/hyperlink" Target="http://www.ramboll.com/" TargetMode="External" /><Relationship Id="rId5" Type="http://schemas.openxmlformats.org/officeDocument/2006/relationships/oleObject" Target="../embeddings/oleObject_0_0.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Q60"/>
  <sheetViews>
    <sheetView workbookViewId="0" topLeftCell="A1">
      <selection activeCell="A1" sqref="A1"/>
    </sheetView>
  </sheetViews>
  <sheetFormatPr defaultColWidth="9.140625" defaultRowHeight="12.75"/>
  <cols>
    <col min="3" max="3" width="1.28515625" style="0" customWidth="1"/>
    <col min="6" max="6" width="9.8515625" style="0" customWidth="1"/>
    <col min="10" max="10" width="10.421875" style="0" customWidth="1"/>
  </cols>
  <sheetData>
    <row r="1" spans="1:17" ht="9.75" customHeight="1" thickBot="1">
      <c r="A1" s="309"/>
      <c r="B1" s="309"/>
      <c r="C1" s="309"/>
      <c r="D1" s="309"/>
      <c r="E1" s="309"/>
      <c r="F1" s="309"/>
      <c r="G1" s="309"/>
      <c r="H1" s="309"/>
      <c r="I1" s="309"/>
      <c r="J1" s="309"/>
      <c r="K1" s="309"/>
      <c r="L1" s="309"/>
      <c r="M1" s="309"/>
      <c r="N1" s="309"/>
      <c r="O1" s="309"/>
      <c r="P1" s="309"/>
      <c r="Q1" s="309"/>
    </row>
    <row r="2" spans="1:17" ht="17.25" customHeight="1" thickTop="1">
      <c r="A2" s="309"/>
      <c r="B2" s="309"/>
      <c r="C2" s="309"/>
      <c r="D2" s="309"/>
      <c r="E2" s="309"/>
      <c r="F2" s="309"/>
      <c r="G2" s="309"/>
      <c r="H2" s="380"/>
      <c r="I2" s="381"/>
      <c r="J2" s="382"/>
      <c r="K2" s="309"/>
      <c r="L2" s="309"/>
      <c r="M2" s="309"/>
      <c r="N2" s="309"/>
      <c r="O2" s="309"/>
      <c r="P2" s="309"/>
      <c r="Q2" s="309"/>
    </row>
    <row r="3" spans="1:17" ht="14.25" customHeight="1">
      <c r="A3" s="309"/>
      <c r="B3" s="373"/>
      <c r="C3" s="373"/>
      <c r="D3" s="309"/>
      <c r="E3" s="309"/>
      <c r="F3" s="309"/>
      <c r="G3" s="309"/>
      <c r="H3" s="374"/>
      <c r="I3" s="375"/>
      <c r="J3" s="376"/>
      <c r="K3" s="309"/>
      <c r="L3" s="309"/>
      <c r="M3" s="309"/>
      <c r="N3" s="309"/>
      <c r="O3" s="309"/>
      <c r="P3" s="309"/>
      <c r="Q3" s="309"/>
    </row>
    <row r="4" spans="1:17" ht="12.75">
      <c r="A4" s="309"/>
      <c r="B4" s="309"/>
      <c r="C4" s="309"/>
      <c r="D4" s="309"/>
      <c r="E4" s="309"/>
      <c r="F4" s="309"/>
      <c r="G4" s="309"/>
      <c r="H4" s="374"/>
      <c r="I4" s="375"/>
      <c r="J4" s="376"/>
      <c r="K4" s="309"/>
      <c r="L4" s="309"/>
      <c r="M4" s="309"/>
      <c r="N4" s="309"/>
      <c r="O4" s="309"/>
      <c r="P4" s="309"/>
      <c r="Q4" s="309"/>
    </row>
    <row r="5" spans="1:17" ht="12.75">
      <c r="A5" s="309"/>
      <c r="B5" s="309"/>
      <c r="C5" s="309"/>
      <c r="D5" s="309"/>
      <c r="E5" s="309"/>
      <c r="F5" s="309"/>
      <c r="G5" s="309"/>
      <c r="H5" s="374"/>
      <c r="I5" s="375"/>
      <c r="J5" s="376"/>
      <c r="K5" s="309"/>
      <c r="L5" s="309"/>
      <c r="M5" s="309"/>
      <c r="N5" s="309"/>
      <c r="O5" s="309"/>
      <c r="P5" s="309"/>
      <c r="Q5" s="309"/>
    </row>
    <row r="6" spans="1:17" ht="12.75">
      <c r="A6" s="309"/>
      <c r="B6" s="309"/>
      <c r="C6" s="309"/>
      <c r="D6" s="309"/>
      <c r="E6" s="309"/>
      <c r="F6" s="309"/>
      <c r="G6" s="309"/>
      <c r="H6" s="374"/>
      <c r="I6" s="375"/>
      <c r="J6" s="376"/>
      <c r="K6" s="309"/>
      <c r="L6" s="309"/>
      <c r="M6" s="309"/>
      <c r="N6" s="309"/>
      <c r="O6" s="309"/>
      <c r="P6" s="309"/>
      <c r="Q6" s="309"/>
    </row>
    <row r="7" spans="1:17" ht="12.75">
      <c r="A7" s="309"/>
      <c r="B7" s="309"/>
      <c r="C7" s="309"/>
      <c r="D7" s="309"/>
      <c r="E7" s="309"/>
      <c r="F7" s="309"/>
      <c r="G7" s="309"/>
      <c r="H7" s="374"/>
      <c r="I7" s="375"/>
      <c r="J7" s="376"/>
      <c r="K7" s="309"/>
      <c r="L7" s="309"/>
      <c r="M7" s="309"/>
      <c r="N7" s="309"/>
      <c r="O7" s="309"/>
      <c r="P7" s="309"/>
      <c r="Q7" s="309"/>
    </row>
    <row r="8" spans="1:17" ht="12.75">
      <c r="A8" s="309"/>
      <c r="B8" s="309"/>
      <c r="C8" s="309"/>
      <c r="D8" s="309"/>
      <c r="E8" s="309"/>
      <c r="F8" s="309"/>
      <c r="G8" s="309"/>
      <c r="H8" s="374"/>
      <c r="I8" s="375"/>
      <c r="J8" s="376"/>
      <c r="K8" s="309"/>
      <c r="L8" s="309"/>
      <c r="M8" s="309"/>
      <c r="N8" s="309"/>
      <c r="O8" s="309"/>
      <c r="P8" s="309"/>
      <c r="Q8" s="309"/>
    </row>
    <row r="9" spans="1:17" ht="12.75">
      <c r="A9" s="309"/>
      <c r="B9" s="309"/>
      <c r="C9" s="309"/>
      <c r="D9" s="309"/>
      <c r="E9" s="309"/>
      <c r="F9" s="309"/>
      <c r="G9" s="309"/>
      <c r="H9" s="374"/>
      <c r="I9" s="375"/>
      <c r="J9" s="376"/>
      <c r="K9" s="309"/>
      <c r="L9" s="309"/>
      <c r="M9" s="309"/>
      <c r="N9" s="309"/>
      <c r="O9" s="309"/>
      <c r="P9" s="309"/>
      <c r="Q9" s="309"/>
    </row>
    <row r="10" spans="1:17" ht="12.75">
      <c r="A10" s="309"/>
      <c r="B10" s="309"/>
      <c r="C10" s="309"/>
      <c r="D10" s="309"/>
      <c r="E10" s="309"/>
      <c r="F10" s="309"/>
      <c r="G10" s="309"/>
      <c r="H10" s="374"/>
      <c r="I10" s="375"/>
      <c r="J10" s="376"/>
      <c r="K10" s="309"/>
      <c r="L10" s="309"/>
      <c r="M10" s="309"/>
      <c r="N10" s="309"/>
      <c r="O10" s="309"/>
      <c r="P10" s="309"/>
      <c r="Q10" s="309"/>
    </row>
    <row r="11" spans="1:17" ht="16.5" customHeight="1" thickBot="1">
      <c r="A11" s="309"/>
      <c r="B11" s="309"/>
      <c r="C11" s="309"/>
      <c r="D11" s="309"/>
      <c r="E11" s="309"/>
      <c r="F11" s="309"/>
      <c r="G11" s="309"/>
      <c r="H11" s="377"/>
      <c r="I11" s="378"/>
      <c r="J11" s="379"/>
      <c r="K11" s="309"/>
      <c r="L11" s="309"/>
      <c r="M11" s="309"/>
      <c r="N11" s="309"/>
      <c r="O11" s="309"/>
      <c r="P11" s="309"/>
      <c r="Q11" s="309"/>
    </row>
    <row r="12" spans="1:17" ht="21" customHeight="1" thickTop="1">
      <c r="A12" s="309"/>
      <c r="B12" s="309"/>
      <c r="C12" s="309"/>
      <c r="D12" s="309"/>
      <c r="E12" s="309"/>
      <c r="F12" s="309"/>
      <c r="G12" s="309"/>
      <c r="H12" s="309"/>
      <c r="I12" s="309"/>
      <c r="J12" s="309"/>
      <c r="K12" s="309"/>
      <c r="L12" s="309"/>
      <c r="M12" s="309"/>
      <c r="N12" s="309"/>
      <c r="O12" s="309"/>
      <c r="P12" s="309"/>
      <c r="Q12" s="309"/>
    </row>
    <row r="13" spans="1:17" ht="12.75">
      <c r="A13" s="309"/>
      <c r="B13" s="309"/>
      <c r="C13" s="309"/>
      <c r="D13" s="309"/>
      <c r="E13" s="309"/>
      <c r="F13" s="309"/>
      <c r="G13" s="309"/>
      <c r="H13" s="309"/>
      <c r="I13" s="309"/>
      <c r="J13" s="309"/>
      <c r="K13" s="309"/>
      <c r="L13" s="309"/>
      <c r="M13" s="309"/>
      <c r="N13" s="309"/>
      <c r="O13" s="309"/>
      <c r="P13" s="309"/>
      <c r="Q13" s="309"/>
    </row>
    <row r="14" spans="1:17" ht="21.75" customHeight="1">
      <c r="A14" s="309"/>
      <c r="B14" s="309"/>
      <c r="C14" s="309"/>
      <c r="D14" s="309"/>
      <c r="E14" s="309"/>
      <c r="F14" s="309"/>
      <c r="G14" s="309"/>
      <c r="H14" s="309"/>
      <c r="I14" s="309"/>
      <c r="J14" s="309"/>
      <c r="K14" s="309"/>
      <c r="L14" s="309"/>
      <c r="M14" s="309"/>
      <c r="N14" s="309"/>
      <c r="O14" s="309"/>
      <c r="P14" s="309"/>
      <c r="Q14" s="309"/>
    </row>
    <row r="15" spans="1:17" ht="23.25" customHeight="1">
      <c r="A15" s="309"/>
      <c r="B15" s="384"/>
      <c r="C15" s="384"/>
      <c r="D15" s="309"/>
      <c r="E15" s="309"/>
      <c r="F15" s="309"/>
      <c r="G15" s="309"/>
      <c r="H15" s="309"/>
      <c r="I15" s="309"/>
      <c r="J15" s="309"/>
      <c r="K15" s="309"/>
      <c r="L15" s="309"/>
      <c r="M15" s="309"/>
      <c r="N15" s="309"/>
      <c r="O15" s="309"/>
      <c r="P15" s="309"/>
      <c r="Q15" s="309"/>
    </row>
    <row r="16" spans="1:17" ht="18">
      <c r="A16" s="309"/>
      <c r="B16" s="385"/>
      <c r="C16" s="385"/>
      <c r="D16" s="929" t="s">
        <v>271</v>
      </c>
      <c r="E16" s="929"/>
      <c r="F16" s="929"/>
      <c r="G16" s="929"/>
      <c r="H16" s="929"/>
      <c r="I16" s="929"/>
      <c r="J16" s="929"/>
      <c r="K16" s="929"/>
      <c r="L16" s="929"/>
      <c r="M16" s="929"/>
      <c r="N16" s="929"/>
      <c r="O16" s="309"/>
      <c r="P16" s="309"/>
      <c r="Q16" s="309"/>
    </row>
    <row r="17" spans="1:17" ht="12.75">
      <c r="A17" s="309"/>
      <c r="B17" s="309"/>
      <c r="C17" s="309"/>
      <c r="D17" s="309"/>
      <c r="E17" s="309"/>
      <c r="F17" s="309"/>
      <c r="G17" s="309"/>
      <c r="H17" s="309"/>
      <c r="I17" s="309"/>
      <c r="J17" s="309"/>
      <c r="K17" s="309"/>
      <c r="L17" s="309"/>
      <c r="M17" s="309"/>
      <c r="N17" s="309"/>
      <c r="O17" s="309"/>
      <c r="P17" s="309"/>
      <c r="Q17" s="309"/>
    </row>
    <row r="18" spans="1:17" ht="23.25">
      <c r="A18" s="309"/>
      <c r="B18" s="930" t="s">
        <v>270</v>
      </c>
      <c r="C18" s="930"/>
      <c r="D18" s="930"/>
      <c r="E18" s="930"/>
      <c r="F18" s="930"/>
      <c r="G18" s="930"/>
      <c r="H18" s="930"/>
      <c r="I18" s="930"/>
      <c r="J18" s="930"/>
      <c r="K18" s="930"/>
      <c r="L18" s="930"/>
      <c r="M18" s="930"/>
      <c r="N18" s="930"/>
      <c r="O18" s="930"/>
      <c r="P18" s="309"/>
      <c r="Q18" s="309"/>
    </row>
    <row r="19" spans="1:17" ht="26.25" customHeight="1">
      <c r="A19" s="309"/>
      <c r="B19" s="384"/>
      <c r="C19" s="384"/>
      <c r="D19" s="309"/>
      <c r="E19" s="309"/>
      <c r="F19" s="309"/>
      <c r="G19" s="931" t="s">
        <v>274</v>
      </c>
      <c r="H19" s="931"/>
      <c r="I19" s="931"/>
      <c r="J19" s="931"/>
      <c r="K19" s="931"/>
      <c r="L19" s="309"/>
      <c r="M19" s="309"/>
      <c r="N19" s="309"/>
      <c r="O19" s="309"/>
      <c r="P19" s="309"/>
      <c r="Q19" s="309"/>
    </row>
    <row r="20" spans="1:17" ht="23.25" customHeight="1" thickBot="1">
      <c r="A20" s="309"/>
      <c r="B20" s="383"/>
      <c r="C20" s="383"/>
      <c r="D20" s="309"/>
      <c r="E20" s="386" t="s">
        <v>269</v>
      </c>
      <c r="F20" s="309"/>
      <c r="G20" s="309"/>
      <c r="H20" s="309"/>
      <c r="I20" s="309"/>
      <c r="J20" s="383"/>
      <c r="K20" s="309"/>
      <c r="L20" s="309"/>
      <c r="M20" s="309"/>
      <c r="N20" s="309"/>
      <c r="O20" s="309"/>
      <c r="P20" s="309"/>
      <c r="Q20" s="309"/>
    </row>
    <row r="21" spans="1:17" ht="18.75" customHeight="1" thickBot="1" thickTop="1">
      <c r="A21" s="309"/>
      <c r="B21" s="309"/>
      <c r="C21" s="309"/>
      <c r="D21" s="309"/>
      <c r="E21" s="380"/>
      <c r="F21" s="381"/>
      <c r="G21" s="381"/>
      <c r="H21" s="382"/>
      <c r="I21" s="309"/>
      <c r="J21" s="386" t="s">
        <v>272</v>
      </c>
      <c r="K21" s="309"/>
      <c r="L21" s="309"/>
      <c r="M21" s="309"/>
      <c r="N21" s="309"/>
      <c r="O21" s="309"/>
      <c r="P21" s="309"/>
      <c r="Q21" s="309"/>
    </row>
    <row r="22" spans="1:17" ht="18.75" customHeight="1" thickTop="1">
      <c r="A22" s="309"/>
      <c r="B22" s="309"/>
      <c r="C22" s="309"/>
      <c r="D22" s="309"/>
      <c r="E22" s="374"/>
      <c r="F22" s="375"/>
      <c r="G22" s="375"/>
      <c r="H22" s="376"/>
      <c r="I22" s="309"/>
      <c r="J22" s="380"/>
      <c r="K22" s="381"/>
      <c r="L22" s="382"/>
      <c r="M22" s="309"/>
      <c r="N22" s="309"/>
      <c r="O22" s="309"/>
      <c r="P22" s="309"/>
      <c r="Q22" s="309"/>
    </row>
    <row r="23" spans="1:17" ht="13.5" thickBot="1">
      <c r="A23" s="309"/>
      <c r="B23" s="309"/>
      <c r="C23" s="309"/>
      <c r="D23" s="309"/>
      <c r="E23" s="374"/>
      <c r="F23" s="375"/>
      <c r="G23" s="375"/>
      <c r="H23" s="376"/>
      <c r="I23" s="309"/>
      <c r="J23" s="377"/>
      <c r="K23" s="378"/>
      <c r="L23" s="379"/>
      <c r="M23" s="309"/>
      <c r="N23" s="309"/>
      <c r="O23" s="309"/>
      <c r="P23" s="309"/>
      <c r="Q23" s="309"/>
    </row>
    <row r="24" spans="1:17" ht="13.5" customHeight="1" thickTop="1">
      <c r="A24" s="309"/>
      <c r="B24" s="309"/>
      <c r="C24" s="309"/>
      <c r="D24" s="309"/>
      <c r="E24" s="374"/>
      <c r="F24" s="375"/>
      <c r="G24" s="375"/>
      <c r="H24" s="376"/>
      <c r="I24" s="309"/>
      <c r="J24" s="912" t="s">
        <v>388</v>
      </c>
      <c r="K24" s="912"/>
      <c r="L24" s="912"/>
      <c r="M24" s="309"/>
      <c r="N24" s="309"/>
      <c r="O24" s="309"/>
      <c r="P24" s="309"/>
      <c r="Q24" s="309"/>
    </row>
    <row r="25" spans="1:17" ht="7.5" customHeight="1" thickBot="1">
      <c r="A25" s="309"/>
      <c r="B25" s="309"/>
      <c r="C25" s="309"/>
      <c r="D25" s="309"/>
      <c r="E25" s="377"/>
      <c r="F25" s="378"/>
      <c r="G25" s="378"/>
      <c r="H25" s="379"/>
      <c r="I25" s="309"/>
      <c r="J25" s="309"/>
      <c r="K25" s="309"/>
      <c r="L25" s="309"/>
      <c r="M25" s="309"/>
      <c r="N25" s="309"/>
      <c r="O25" s="309"/>
      <c r="P25" s="309"/>
      <c r="Q25" s="309"/>
    </row>
    <row r="26" spans="1:17" ht="13.5" thickTop="1">
      <c r="A26" s="309"/>
      <c r="B26" s="309"/>
      <c r="C26" s="309"/>
      <c r="D26" s="309"/>
      <c r="E26" s="309"/>
      <c r="F26" s="309"/>
      <c r="G26" s="309"/>
      <c r="H26" s="309"/>
      <c r="I26" s="309"/>
      <c r="J26" s="309" t="s">
        <v>275</v>
      </c>
      <c r="K26" s="309"/>
      <c r="L26" s="309"/>
      <c r="M26" s="309"/>
      <c r="N26" s="309"/>
      <c r="O26" s="309"/>
      <c r="P26" s="309"/>
      <c r="Q26" s="309"/>
    </row>
    <row r="27" spans="1:17" ht="12.75">
      <c r="A27" s="309"/>
      <c r="B27" s="309"/>
      <c r="C27" s="309"/>
      <c r="D27" s="309"/>
      <c r="E27" s="309"/>
      <c r="F27" s="309"/>
      <c r="G27" s="309"/>
      <c r="H27" s="309"/>
      <c r="I27" s="309"/>
      <c r="J27" s="389" t="s">
        <v>387</v>
      </c>
      <c r="K27" s="309"/>
      <c r="L27" s="309"/>
      <c r="M27" s="309"/>
      <c r="N27" s="309"/>
      <c r="O27" s="309"/>
      <c r="P27" s="309"/>
      <c r="Q27" s="309"/>
    </row>
    <row r="28" spans="1:17" ht="17.25" customHeight="1" thickBot="1">
      <c r="A28" s="309"/>
      <c r="B28" s="309"/>
      <c r="C28" s="309"/>
      <c r="D28" s="309"/>
      <c r="E28" s="309"/>
      <c r="F28" s="309"/>
      <c r="G28" s="309"/>
      <c r="H28" s="309"/>
      <c r="I28" s="309"/>
      <c r="J28" s="309"/>
      <c r="K28" s="309"/>
      <c r="L28" s="309"/>
      <c r="M28" s="309"/>
      <c r="N28" s="309"/>
      <c r="O28" s="309"/>
      <c r="P28" s="309"/>
      <c r="Q28" s="309"/>
    </row>
    <row r="29" spans="1:17" ht="46.5" thickBot="1" thickTop="1">
      <c r="A29" s="309"/>
      <c r="B29" s="309"/>
      <c r="C29" s="309"/>
      <c r="D29" s="309"/>
      <c r="E29" s="909" t="s">
        <v>273</v>
      </c>
      <c r="F29" s="910"/>
      <c r="G29" s="910"/>
      <c r="H29" s="910"/>
      <c r="I29" s="910"/>
      <c r="J29" s="910"/>
      <c r="K29" s="910"/>
      <c r="L29" s="911"/>
      <c r="M29" s="309"/>
      <c r="N29" s="309"/>
      <c r="O29" s="309"/>
      <c r="P29" s="309"/>
      <c r="Q29" s="309"/>
    </row>
    <row r="30" spans="1:17" ht="13.5" thickTop="1">
      <c r="A30" s="309"/>
      <c r="B30" s="309"/>
      <c r="C30" s="309"/>
      <c r="D30" s="309"/>
      <c r="E30" s="309"/>
      <c r="F30" s="309"/>
      <c r="G30" s="309"/>
      <c r="H30" s="309"/>
      <c r="I30" s="309"/>
      <c r="J30" s="309"/>
      <c r="K30" s="309"/>
      <c r="L30" s="309"/>
      <c r="M30" s="309"/>
      <c r="N30" s="309"/>
      <c r="O30" s="309"/>
      <c r="P30" s="309"/>
      <c r="Q30" s="309"/>
    </row>
    <row r="31" spans="1:17" ht="12.75">
      <c r="A31" s="309"/>
      <c r="B31" s="309"/>
      <c r="C31" s="309"/>
      <c r="D31" s="309"/>
      <c r="E31" s="309"/>
      <c r="F31" s="309"/>
      <c r="G31" s="309"/>
      <c r="H31" s="309"/>
      <c r="I31" s="309"/>
      <c r="J31" s="309"/>
      <c r="K31" s="309"/>
      <c r="L31" s="309"/>
      <c r="M31" s="309"/>
      <c r="N31" s="309"/>
      <c r="O31" s="309"/>
      <c r="P31" s="309"/>
      <c r="Q31" s="309"/>
    </row>
    <row r="32" spans="1:17" ht="12.75">
      <c r="A32" s="309"/>
      <c r="B32" s="309"/>
      <c r="C32" s="309"/>
      <c r="D32" s="309"/>
      <c r="E32" s="918" t="s">
        <v>277</v>
      </c>
      <c r="F32" s="918"/>
      <c r="G32" s="918"/>
      <c r="H32" s="918"/>
      <c r="I32" s="918"/>
      <c r="J32" s="918"/>
      <c r="K32" s="389" t="s">
        <v>276</v>
      </c>
      <c r="L32" s="388"/>
      <c r="M32" s="309"/>
      <c r="N32" s="309"/>
      <c r="O32" s="309"/>
      <c r="P32" s="309"/>
      <c r="Q32" s="309"/>
    </row>
    <row r="33" spans="1:17" ht="12.75">
      <c r="A33" s="309"/>
      <c r="B33" s="309"/>
      <c r="C33" s="309"/>
      <c r="D33" s="309"/>
      <c r="E33" s="309"/>
      <c r="F33" s="309"/>
      <c r="G33" s="309"/>
      <c r="H33" s="309"/>
      <c r="I33" s="309"/>
      <c r="J33" s="309"/>
      <c r="K33" s="309"/>
      <c r="L33" s="309"/>
      <c r="M33" s="309"/>
      <c r="N33" s="309"/>
      <c r="O33" s="309"/>
      <c r="P33" s="309"/>
      <c r="Q33" s="309"/>
    </row>
    <row r="34" spans="1:17" ht="12.75">
      <c r="A34" s="309"/>
      <c r="B34" s="309"/>
      <c r="C34" s="309"/>
      <c r="D34" s="309"/>
      <c r="E34" s="918" t="s">
        <v>278</v>
      </c>
      <c r="F34" s="918"/>
      <c r="G34" s="918"/>
      <c r="H34" s="918"/>
      <c r="I34" s="918"/>
      <c r="J34" s="918"/>
      <c r="K34" s="389" t="s">
        <v>280</v>
      </c>
      <c r="L34" s="388"/>
      <c r="M34" s="309"/>
      <c r="N34" s="309"/>
      <c r="O34" s="309"/>
      <c r="P34" s="309"/>
      <c r="Q34" s="309"/>
    </row>
    <row r="35" spans="1:17" ht="12.75">
      <c r="A35" s="309"/>
      <c r="B35" s="309"/>
      <c r="C35" s="309"/>
      <c r="D35" s="309"/>
      <c r="E35" s="309"/>
      <c r="F35" s="309"/>
      <c r="G35" s="309"/>
      <c r="H35" s="309"/>
      <c r="I35" s="309"/>
      <c r="J35" s="309"/>
      <c r="K35" s="309"/>
      <c r="L35" s="309"/>
      <c r="M35" s="309"/>
      <c r="N35" s="309"/>
      <c r="O35" s="309"/>
      <c r="P35" s="309"/>
      <c r="Q35" s="309"/>
    </row>
    <row r="36" spans="1:17" ht="13.5" thickBot="1">
      <c r="A36" s="309"/>
      <c r="B36" s="309"/>
      <c r="C36" s="309"/>
      <c r="D36" s="309"/>
      <c r="E36" s="309"/>
      <c r="F36" s="309"/>
      <c r="G36" s="309"/>
      <c r="H36" s="309"/>
      <c r="I36" s="309"/>
      <c r="J36" s="309"/>
      <c r="K36" s="309"/>
      <c r="L36" s="309"/>
      <c r="M36" s="309"/>
      <c r="N36" s="309"/>
      <c r="O36" s="309"/>
      <c r="P36" s="309"/>
      <c r="Q36" s="309"/>
    </row>
    <row r="37" spans="1:17" ht="21.75" thickBot="1" thickTop="1">
      <c r="A37" s="309"/>
      <c r="B37" s="919" t="s">
        <v>279</v>
      </c>
      <c r="C37" s="920"/>
      <c r="D37" s="917"/>
      <c r="E37" s="309"/>
      <c r="F37" s="309"/>
      <c r="G37" s="309"/>
      <c r="H37" s="309"/>
      <c r="I37" s="309"/>
      <c r="J37" s="309"/>
      <c r="K37" s="309"/>
      <c r="L37" s="309"/>
      <c r="M37" s="309"/>
      <c r="N37" s="309"/>
      <c r="O37" s="309"/>
      <c r="P37" s="309"/>
      <c r="Q37" s="309"/>
    </row>
    <row r="38" spans="1:17" ht="13.5" thickTop="1">
      <c r="A38" s="309"/>
      <c r="B38" s="309"/>
      <c r="C38" s="309"/>
      <c r="D38" s="309"/>
      <c r="E38" s="309"/>
      <c r="F38" s="309"/>
      <c r="G38" s="309"/>
      <c r="H38" s="309"/>
      <c r="I38" s="309"/>
      <c r="J38" s="309"/>
      <c r="K38" s="309"/>
      <c r="L38" s="309"/>
      <c r="M38" s="309"/>
      <c r="N38" s="309"/>
      <c r="O38" s="309"/>
      <c r="P38" s="309"/>
      <c r="Q38" s="309"/>
    </row>
    <row r="39" spans="1:17" ht="15.75">
      <c r="A39" s="309"/>
      <c r="B39" s="932">
        <v>1</v>
      </c>
      <c r="C39" s="544"/>
      <c r="D39" s="387" t="s">
        <v>285</v>
      </c>
      <c r="E39" s="309"/>
      <c r="F39" s="309"/>
      <c r="G39" s="309"/>
      <c r="H39" s="309"/>
      <c r="I39" s="309"/>
      <c r="J39" s="309"/>
      <c r="K39" s="309"/>
      <c r="L39" s="309"/>
      <c r="M39" s="309"/>
      <c r="N39" s="309"/>
      <c r="O39" s="309"/>
      <c r="P39" s="309"/>
      <c r="Q39" s="309"/>
    </row>
    <row r="40" spans="1:17" ht="15.75">
      <c r="A40" s="309"/>
      <c r="B40" s="934"/>
      <c r="C40" s="544"/>
      <c r="D40" s="387" t="s">
        <v>286</v>
      </c>
      <c r="E40" s="309"/>
      <c r="F40" s="309"/>
      <c r="G40" s="309"/>
      <c r="H40" s="309"/>
      <c r="I40" s="309"/>
      <c r="J40" s="309"/>
      <c r="K40" s="309"/>
      <c r="L40" s="309"/>
      <c r="M40" s="309"/>
      <c r="N40" s="309"/>
      <c r="O40" s="309"/>
      <c r="P40" s="309"/>
      <c r="Q40" s="309"/>
    </row>
    <row r="41" spans="1:17" ht="15.75">
      <c r="A41" s="309"/>
      <c r="B41" s="390"/>
      <c r="C41" s="390"/>
      <c r="D41" s="387"/>
      <c r="E41" s="309"/>
      <c r="F41" s="309"/>
      <c r="G41" s="309"/>
      <c r="H41" s="309"/>
      <c r="I41" s="309"/>
      <c r="J41" s="309"/>
      <c r="K41" s="309"/>
      <c r="L41" s="309"/>
      <c r="M41" s="309"/>
      <c r="N41" s="309"/>
      <c r="O41" s="309"/>
      <c r="P41" s="309"/>
      <c r="Q41" s="309"/>
    </row>
    <row r="42" spans="1:17" ht="15.75">
      <c r="A42" s="309"/>
      <c r="B42" s="932">
        <v>2</v>
      </c>
      <c r="C42" s="544"/>
      <c r="D42" s="387" t="s">
        <v>287</v>
      </c>
      <c r="E42" s="309"/>
      <c r="F42" s="309"/>
      <c r="G42" s="309"/>
      <c r="H42" s="309"/>
      <c r="I42" s="309"/>
      <c r="J42" s="309"/>
      <c r="K42" s="309"/>
      <c r="L42" s="309"/>
      <c r="M42" s="309"/>
      <c r="N42" s="309"/>
      <c r="O42" s="309"/>
      <c r="P42" s="309"/>
      <c r="Q42" s="309"/>
    </row>
    <row r="43" spans="1:17" ht="15.75">
      <c r="A43" s="309"/>
      <c r="B43" s="933"/>
      <c r="C43" s="544"/>
      <c r="D43" s="387" t="s">
        <v>288</v>
      </c>
      <c r="E43" s="309"/>
      <c r="F43" s="309"/>
      <c r="G43" s="309"/>
      <c r="H43" s="309"/>
      <c r="I43" s="309"/>
      <c r="J43" s="309"/>
      <c r="K43" s="309"/>
      <c r="L43" s="309"/>
      <c r="M43" s="309"/>
      <c r="N43" s="309"/>
      <c r="O43" s="309"/>
      <c r="P43" s="309"/>
      <c r="Q43" s="309"/>
    </row>
    <row r="44" spans="1:17" ht="15.75">
      <c r="A44" s="309"/>
      <c r="B44" s="934"/>
      <c r="C44" s="544"/>
      <c r="D44" s="387" t="s">
        <v>289</v>
      </c>
      <c r="E44" s="309"/>
      <c r="F44" s="309"/>
      <c r="G44" s="309"/>
      <c r="H44" s="309"/>
      <c r="I44" s="309"/>
      <c r="J44" s="309"/>
      <c r="K44" s="309"/>
      <c r="L44" s="309"/>
      <c r="M44" s="309"/>
      <c r="N44" s="309"/>
      <c r="O44" s="309"/>
      <c r="P44" s="309"/>
      <c r="Q44" s="309"/>
    </row>
    <row r="45" spans="1:17" ht="15.75">
      <c r="A45" s="309"/>
      <c r="B45" s="390"/>
      <c r="C45" s="390"/>
      <c r="D45" s="387"/>
      <c r="E45" s="309"/>
      <c r="F45" s="309"/>
      <c r="G45" s="309"/>
      <c r="H45" s="309"/>
      <c r="I45" s="309"/>
      <c r="J45" s="309"/>
      <c r="K45" s="309"/>
      <c r="L45" s="309"/>
      <c r="M45" s="309"/>
      <c r="N45" s="309"/>
      <c r="O45" s="309"/>
      <c r="P45" s="309"/>
      <c r="Q45" s="309"/>
    </row>
    <row r="46" spans="1:17" ht="15.75">
      <c r="A46" s="309"/>
      <c r="B46" s="932">
        <v>3</v>
      </c>
      <c r="C46" s="544"/>
      <c r="D46" s="387" t="s">
        <v>290</v>
      </c>
      <c r="E46" s="309"/>
      <c r="F46" s="309"/>
      <c r="G46" s="309"/>
      <c r="H46" s="309"/>
      <c r="I46" s="309"/>
      <c r="J46" s="309"/>
      <c r="K46" s="309"/>
      <c r="L46" s="309"/>
      <c r="M46" s="309"/>
      <c r="N46" s="309"/>
      <c r="O46" s="309"/>
      <c r="P46" s="309"/>
      <c r="Q46" s="309"/>
    </row>
    <row r="47" spans="1:17" ht="15.75">
      <c r="A47" s="309"/>
      <c r="B47" s="933"/>
      <c r="C47" s="544"/>
      <c r="D47" s="387" t="s">
        <v>291</v>
      </c>
      <c r="E47" s="309"/>
      <c r="F47" s="309"/>
      <c r="G47" s="309"/>
      <c r="H47" s="309"/>
      <c r="I47" s="309"/>
      <c r="J47" s="309"/>
      <c r="K47" s="309"/>
      <c r="L47" s="309"/>
      <c r="M47" s="309"/>
      <c r="N47" s="309"/>
      <c r="O47" s="309"/>
      <c r="P47" s="309"/>
      <c r="Q47" s="309"/>
    </row>
    <row r="48" spans="1:17" ht="15.75">
      <c r="A48" s="309"/>
      <c r="B48" s="934"/>
      <c r="C48" s="544"/>
      <c r="D48" s="387" t="s">
        <v>292</v>
      </c>
      <c r="E48" s="309"/>
      <c r="F48" s="309"/>
      <c r="G48" s="309"/>
      <c r="H48" s="309"/>
      <c r="I48" s="309"/>
      <c r="J48" s="309"/>
      <c r="K48" s="309"/>
      <c r="L48" s="309"/>
      <c r="M48" s="309"/>
      <c r="N48" s="309"/>
      <c r="O48" s="309"/>
      <c r="P48" s="309"/>
      <c r="Q48" s="309"/>
    </row>
    <row r="49" spans="1:17" ht="12.75">
      <c r="A49" s="309"/>
      <c r="B49" s="388"/>
      <c r="C49" s="388"/>
      <c r="D49" s="309"/>
      <c r="E49" s="309"/>
      <c r="F49" s="309"/>
      <c r="G49" s="309"/>
      <c r="H49" s="309"/>
      <c r="I49" s="309"/>
      <c r="J49" s="309"/>
      <c r="K49" s="309"/>
      <c r="L49" s="309"/>
      <c r="M49" s="309"/>
      <c r="N49" s="309"/>
      <c r="O49" s="309"/>
      <c r="P49" s="309"/>
      <c r="Q49" s="309"/>
    </row>
    <row r="50" spans="1:17" ht="15.75">
      <c r="A50" s="309"/>
      <c r="B50" s="932">
        <v>4</v>
      </c>
      <c r="C50" s="544"/>
      <c r="D50" s="387" t="s">
        <v>281</v>
      </c>
      <c r="E50" s="309"/>
      <c r="F50" s="309"/>
      <c r="G50" s="309"/>
      <c r="H50" s="309"/>
      <c r="I50" s="309"/>
      <c r="J50" s="309"/>
      <c r="K50" s="309"/>
      <c r="L50" s="309"/>
      <c r="M50" s="309"/>
      <c r="N50" s="309"/>
      <c r="O50" s="309"/>
      <c r="P50" s="309"/>
      <c r="Q50" s="309"/>
    </row>
    <row r="51" spans="1:17" ht="15.75">
      <c r="A51" s="309"/>
      <c r="B51" s="933"/>
      <c r="C51" s="544"/>
      <c r="D51" s="387" t="s">
        <v>283</v>
      </c>
      <c r="E51" s="309"/>
      <c r="F51" s="309"/>
      <c r="G51" s="309"/>
      <c r="H51" s="309"/>
      <c r="I51" s="309"/>
      <c r="J51" s="309"/>
      <c r="K51" s="309"/>
      <c r="L51" s="309"/>
      <c r="M51" s="309"/>
      <c r="N51" s="309"/>
      <c r="O51" s="391"/>
      <c r="P51" s="309"/>
      <c r="Q51" s="309"/>
    </row>
    <row r="52" spans="1:17" ht="15.75">
      <c r="A52" s="309"/>
      <c r="B52" s="933"/>
      <c r="C52" s="544"/>
      <c r="D52" s="387" t="s">
        <v>282</v>
      </c>
      <c r="E52" s="309"/>
      <c r="F52" s="309"/>
      <c r="G52" s="309"/>
      <c r="H52" s="309"/>
      <c r="I52" s="309"/>
      <c r="J52" s="309"/>
      <c r="K52" s="309"/>
      <c r="L52" s="309"/>
      <c r="M52" s="309"/>
      <c r="N52" s="309"/>
      <c r="O52" s="392"/>
      <c r="P52" s="309"/>
      <c r="Q52" s="309"/>
    </row>
    <row r="53" spans="1:17" ht="15.75">
      <c r="A53" s="309"/>
      <c r="B53" s="933"/>
      <c r="C53" s="544"/>
      <c r="D53" s="387" t="s">
        <v>284</v>
      </c>
      <c r="E53" s="309"/>
      <c r="F53" s="309"/>
      <c r="G53" s="309"/>
      <c r="H53" s="309"/>
      <c r="I53" s="309"/>
      <c r="J53" s="309"/>
      <c r="K53" s="309"/>
      <c r="L53" s="309"/>
      <c r="M53" s="309"/>
      <c r="N53" s="309"/>
      <c r="O53" s="393"/>
      <c r="P53" s="309"/>
      <c r="Q53" s="309"/>
    </row>
    <row r="54" spans="1:17" ht="15.75">
      <c r="A54" s="309"/>
      <c r="B54" s="934"/>
      <c r="C54" s="544"/>
      <c r="D54" s="387" t="s">
        <v>621</v>
      </c>
      <c r="E54" s="309"/>
      <c r="F54" s="309"/>
      <c r="G54" s="309"/>
      <c r="H54" s="309"/>
      <c r="I54" s="309"/>
      <c r="J54" s="309"/>
      <c r="K54" s="309"/>
      <c r="L54" s="309"/>
      <c r="M54" s="309"/>
      <c r="N54" s="309"/>
      <c r="O54" s="795"/>
      <c r="P54" s="309"/>
      <c r="Q54" s="309"/>
    </row>
    <row r="55" spans="1:17" ht="12.75">
      <c r="A55" s="309"/>
      <c r="B55" s="309"/>
      <c r="C55" s="309"/>
      <c r="D55" s="309"/>
      <c r="E55" s="309"/>
      <c r="F55" s="309"/>
      <c r="G55" s="309"/>
      <c r="H55" s="309"/>
      <c r="I55" s="309"/>
      <c r="J55" s="309"/>
      <c r="K55" s="309"/>
      <c r="L55" s="309"/>
      <c r="M55" s="309"/>
      <c r="N55" s="309"/>
      <c r="O55" s="309"/>
      <c r="P55" s="309"/>
      <c r="Q55" s="309"/>
    </row>
    <row r="56" spans="1:17" ht="12.75" customHeight="1">
      <c r="A56" s="309"/>
      <c r="B56" s="932">
        <v>5</v>
      </c>
      <c r="C56" s="544"/>
      <c r="D56" s="387" t="s">
        <v>293</v>
      </c>
      <c r="E56" s="309"/>
      <c r="F56" s="309"/>
      <c r="G56" s="309"/>
      <c r="H56" s="309"/>
      <c r="I56" s="309"/>
      <c r="J56" s="309"/>
      <c r="K56" s="309"/>
      <c r="L56" s="309"/>
      <c r="M56" s="309"/>
      <c r="N56" s="309"/>
      <c r="O56" s="309"/>
      <c r="P56" s="309"/>
      <c r="Q56" s="309"/>
    </row>
    <row r="57" spans="1:17" ht="12.75" customHeight="1">
      <c r="A57" s="309"/>
      <c r="B57" s="933"/>
      <c r="C57" s="544"/>
      <c r="D57" s="387" t="s">
        <v>294</v>
      </c>
      <c r="E57" s="309"/>
      <c r="F57" s="309"/>
      <c r="G57" s="309"/>
      <c r="H57" s="309"/>
      <c r="I57" s="309"/>
      <c r="J57" s="309"/>
      <c r="K57" s="309"/>
      <c r="L57" s="309"/>
      <c r="M57" s="309"/>
      <c r="N57" s="309"/>
      <c r="O57" s="309"/>
      <c r="P57" s="309"/>
      <c r="Q57" s="309"/>
    </row>
    <row r="58" spans="1:17" ht="12.75" customHeight="1">
      <c r="A58" s="309"/>
      <c r="B58" s="934"/>
      <c r="C58" s="544"/>
      <c r="D58" s="387" t="s">
        <v>295</v>
      </c>
      <c r="E58" s="309"/>
      <c r="F58" s="309"/>
      <c r="G58" s="309"/>
      <c r="H58" s="309"/>
      <c r="I58" s="309"/>
      <c r="J58" s="309"/>
      <c r="K58" s="309"/>
      <c r="L58" s="309"/>
      <c r="M58" s="309"/>
      <c r="N58" s="309"/>
      <c r="O58" s="309"/>
      <c r="P58" s="309"/>
      <c r="Q58" s="309"/>
    </row>
    <row r="59" spans="1:17" ht="12.75">
      <c r="A59" s="309"/>
      <c r="B59" s="309"/>
      <c r="C59" s="309"/>
      <c r="D59" s="309"/>
      <c r="E59" s="309"/>
      <c r="F59" s="309"/>
      <c r="G59" s="309"/>
      <c r="H59" s="309"/>
      <c r="I59" s="309"/>
      <c r="J59" s="309"/>
      <c r="K59" s="309"/>
      <c r="L59" s="309"/>
      <c r="M59" s="309"/>
      <c r="N59" s="309"/>
      <c r="O59" s="309"/>
      <c r="P59" s="309"/>
      <c r="Q59" s="309"/>
    </row>
    <row r="60" spans="1:17" ht="12.75">
      <c r="A60" s="309"/>
      <c r="B60" s="309"/>
      <c r="C60" s="309"/>
      <c r="D60" s="309"/>
      <c r="E60" s="309"/>
      <c r="F60" s="309"/>
      <c r="G60" s="309"/>
      <c r="H60" s="309"/>
      <c r="I60" s="309"/>
      <c r="J60" s="309"/>
      <c r="K60" s="309"/>
      <c r="L60" s="309"/>
      <c r="M60" s="309"/>
      <c r="N60" s="309"/>
      <c r="O60" s="309"/>
      <c r="P60" s="309"/>
      <c r="Q60" s="309"/>
    </row>
  </sheetData>
  <sheetProtection password="DD89" sheet="1" objects="1" scenarios="1"/>
  <mergeCells count="13">
    <mergeCell ref="B56:B58"/>
    <mergeCell ref="E29:L29"/>
    <mergeCell ref="J24:L24"/>
    <mergeCell ref="B50:B54"/>
    <mergeCell ref="D16:N16"/>
    <mergeCell ref="B18:O18"/>
    <mergeCell ref="G19:K19"/>
    <mergeCell ref="B46:B48"/>
    <mergeCell ref="E32:J32"/>
    <mergeCell ref="E34:J34"/>
    <mergeCell ref="B37:D37"/>
    <mergeCell ref="B39:B40"/>
    <mergeCell ref="B42:B44"/>
  </mergeCells>
  <hyperlinks>
    <hyperlink ref="J27" r:id="rId1" display="tok@ramboll.dk"/>
    <hyperlink ref="K32" r:id="rId2" display="johnc@ibex.co.za"/>
    <hyperlink ref="K34" r:id="rId3" display="daveb@mweb.co.za"/>
    <hyperlink ref="J24" r:id="rId4" display="www.ramboll.com"/>
  </hyperlinks>
  <printOptions/>
  <pageMargins left="0.75" right="0.75" top="1" bottom="1" header="0.5" footer="0.5"/>
  <pageSetup horizontalDpi="300" verticalDpi="300" orientation="portrait" paperSize="9" r:id="rId8"/>
  <drawing r:id="rId7"/>
  <legacyDrawing r:id="rId6"/>
  <oleObjects>
    <oleObject progId="Word.Picture.8" shapeId="163547" r:id="rId5"/>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A1:AN188"/>
  <sheetViews>
    <sheetView zoomScale="75" zoomScaleNormal="75" workbookViewId="0" topLeftCell="A1">
      <selection activeCell="A1" sqref="A1"/>
    </sheetView>
  </sheetViews>
  <sheetFormatPr defaultColWidth="9.140625" defaultRowHeight="12.75"/>
  <cols>
    <col min="1" max="1" width="4.8515625" style="0" customWidth="1"/>
    <col min="2" max="2" width="11.7109375" style="0" customWidth="1"/>
    <col min="3" max="3" width="24.140625" style="0" customWidth="1"/>
    <col min="4" max="4" width="13.28125" style="0" customWidth="1"/>
    <col min="5" max="5" width="12.7109375" style="0" customWidth="1"/>
    <col min="6" max="6" width="19.140625" style="0" customWidth="1"/>
    <col min="7" max="7" width="11.140625" style="0" customWidth="1"/>
    <col min="8" max="8" width="14.28125" style="0" customWidth="1"/>
    <col min="9" max="9" width="4.7109375" style="0" customWidth="1"/>
    <col min="10" max="10" width="12.8515625" style="0" customWidth="1"/>
    <col min="11" max="11" width="13.00390625" style="0" customWidth="1"/>
    <col min="12" max="12" width="17.8515625" style="0" customWidth="1"/>
    <col min="13" max="13" width="12.00390625" style="0" customWidth="1"/>
    <col min="14" max="14" width="13.28125" style="0" customWidth="1"/>
    <col min="15" max="15" width="5.140625" style="0" customWidth="1"/>
    <col min="16" max="17" width="13.421875" style="0" customWidth="1"/>
    <col min="18" max="18" width="18.00390625" style="0" customWidth="1"/>
    <col min="19" max="19" width="12.140625" style="0" customWidth="1"/>
    <col min="21" max="21" width="5.8515625" style="0" customWidth="1"/>
    <col min="22" max="22" width="12.57421875" style="0" customWidth="1"/>
    <col min="23" max="23" width="20.8515625" style="0" customWidth="1"/>
    <col min="24" max="24" width="17.140625" style="0" customWidth="1"/>
    <col min="25" max="25" width="11.00390625" style="0" customWidth="1"/>
    <col min="26" max="26" width="9.8515625" style="0" bestFit="1" customWidth="1"/>
    <col min="27" max="27" width="6.140625" style="0" customWidth="1"/>
    <col min="28" max="28" width="13.140625" style="0" customWidth="1"/>
    <col min="29" max="29" width="12.8515625" style="0" customWidth="1"/>
    <col min="30" max="30" width="16.140625" style="0" customWidth="1"/>
    <col min="31" max="31" width="11.421875" style="0" customWidth="1"/>
    <col min="32" max="32" width="12.140625" style="0" bestFit="1" customWidth="1"/>
    <col min="33" max="33" width="11.57421875" style="0" bestFit="1" customWidth="1"/>
    <col min="34" max="34" width="10.421875" style="0" bestFit="1" customWidth="1"/>
  </cols>
  <sheetData>
    <row r="1" spans="1:20" ht="13.5" thickBot="1">
      <c r="A1" s="387"/>
      <c r="B1" s="387"/>
      <c r="C1" s="387"/>
      <c r="D1" s="387"/>
      <c r="E1" s="387"/>
      <c r="F1" s="387"/>
      <c r="G1" s="387"/>
      <c r="H1" s="387"/>
      <c r="I1" s="387"/>
      <c r="J1" s="387"/>
      <c r="K1" s="387"/>
      <c r="L1" s="387"/>
      <c r="M1" s="387"/>
      <c r="N1" s="387"/>
      <c r="O1" s="387"/>
      <c r="P1" s="387"/>
      <c r="Q1" s="387"/>
      <c r="R1" s="387"/>
      <c r="S1" s="387"/>
      <c r="T1" s="387"/>
    </row>
    <row r="2" spans="1:20" s="1" customFormat="1" ht="37.5" customHeight="1" thickBot="1" thickTop="1">
      <c r="A2" s="675"/>
      <c r="B2" s="1072" t="s">
        <v>495</v>
      </c>
      <c r="C2" s="1072"/>
      <c r="D2" s="1072"/>
      <c r="E2" s="1072"/>
      <c r="F2" s="1072"/>
      <c r="G2" s="1072"/>
      <c r="H2" s="1072"/>
      <c r="I2" s="1072"/>
      <c r="J2" s="1073"/>
      <c r="K2" s="387"/>
      <c r="L2" s="387"/>
      <c r="M2" s="387"/>
      <c r="N2" s="387"/>
      <c r="O2" s="402"/>
      <c r="P2" s="387"/>
      <c r="Q2" s="387"/>
      <c r="R2" s="387"/>
      <c r="S2" s="387"/>
      <c r="T2" s="387"/>
    </row>
    <row r="3" spans="1:20" s="1" customFormat="1" ht="28.5" customHeight="1" thickBot="1" thickTop="1">
      <c r="A3" s="403"/>
      <c r="B3" s="403"/>
      <c r="C3" s="403"/>
      <c r="D3" s="403"/>
      <c r="E3" s="403"/>
      <c r="F3" s="403"/>
      <c r="G3" s="403"/>
      <c r="H3" s="387"/>
      <c r="I3" s="402"/>
      <c r="J3" s="387"/>
      <c r="K3" s="387"/>
      <c r="L3" s="313"/>
      <c r="M3" s="387"/>
      <c r="N3" s="387"/>
      <c r="O3" s="402"/>
      <c r="P3" s="387"/>
      <c r="Q3" s="387"/>
      <c r="R3" s="387"/>
      <c r="S3" s="387"/>
      <c r="T3" s="387"/>
    </row>
    <row r="4" spans="1:35" s="1" customFormat="1" ht="38.25" customHeight="1" thickBot="1" thickTop="1">
      <c r="A4" s="387"/>
      <c r="B4" s="402"/>
      <c r="C4" s="1079" t="s">
        <v>380</v>
      </c>
      <c r="D4" s="1080"/>
      <c r="E4" s="1080"/>
      <c r="F4" s="1081"/>
      <c r="G4" s="404"/>
      <c r="H4" s="402"/>
      <c r="I4" s="402"/>
      <c r="J4" s="387"/>
      <c r="K4" s="387"/>
      <c r="L4" s="387"/>
      <c r="M4" s="387"/>
      <c r="N4" s="387"/>
      <c r="O4" s="402"/>
      <c r="P4" s="387"/>
      <c r="Q4" s="387"/>
      <c r="R4" s="387"/>
      <c r="S4" s="387"/>
      <c r="T4" s="387"/>
      <c r="V4"/>
      <c r="W4"/>
      <c r="X4"/>
      <c r="Y4"/>
      <c r="Z4"/>
      <c r="AA4"/>
      <c r="AB4"/>
      <c r="AC4"/>
      <c r="AD4"/>
      <c r="AE4"/>
      <c r="AF4"/>
      <c r="AG4"/>
      <c r="AH4"/>
      <c r="AI4"/>
    </row>
    <row r="5" spans="1:35" s="1" customFormat="1" ht="17.25" customHeight="1" thickTop="1">
      <c r="A5" s="387"/>
      <c r="B5" s="405"/>
      <c r="C5" s="402"/>
      <c r="D5" s="402"/>
      <c r="E5" s="402"/>
      <c r="F5" s="402"/>
      <c r="G5" s="402"/>
      <c r="H5" s="387"/>
      <c r="I5" s="402"/>
      <c r="J5" s="387"/>
      <c r="K5" s="387"/>
      <c r="L5" s="387"/>
      <c r="M5" s="387"/>
      <c r="N5" s="387"/>
      <c r="O5" s="402"/>
      <c r="P5" s="387"/>
      <c r="Q5" s="387"/>
      <c r="R5" s="387"/>
      <c r="S5" s="387"/>
      <c r="T5" s="387"/>
      <c r="W5" s="525"/>
      <c r="X5" s="526"/>
      <c r="Y5" s="526"/>
      <c r="Z5" s="526"/>
      <c r="AA5" s="526"/>
      <c r="AB5" s="526"/>
      <c r="AC5" s="526"/>
      <c r="AD5" s="526"/>
      <c r="AE5" s="526"/>
      <c r="AF5" s="526"/>
      <c r="AG5" s="526"/>
      <c r="AH5" s="527"/>
      <c r="AI5"/>
    </row>
    <row r="6" spans="2:35" s="1" customFormat="1" ht="30.75" thickBot="1">
      <c r="B6" s="406"/>
      <c r="C6" s="164"/>
      <c r="D6" s="164"/>
      <c r="E6" s="164"/>
      <c r="F6" s="164"/>
      <c r="G6" s="164"/>
      <c r="I6" s="407"/>
      <c r="O6" s="407"/>
      <c r="W6" s="661"/>
      <c r="X6" s="1085" t="s">
        <v>493</v>
      </c>
      <c r="Y6" s="1085"/>
      <c r="Z6" s="1085"/>
      <c r="AA6" s="1085"/>
      <c r="AB6" s="1085"/>
      <c r="AC6" s="1085"/>
      <c r="AD6" s="1085"/>
      <c r="AE6" s="1085"/>
      <c r="AF6" s="529"/>
      <c r="AG6" s="529"/>
      <c r="AH6" s="530"/>
      <c r="AI6"/>
    </row>
    <row r="7" spans="2:35" s="1" customFormat="1" ht="15.75">
      <c r="B7" s="164"/>
      <c r="C7" s="164"/>
      <c r="D7" s="408" t="s">
        <v>296</v>
      </c>
      <c r="E7" s="409"/>
      <c r="F7" s="410">
        <f>(F8/1000)*F9*F10*12</f>
        <v>6240</v>
      </c>
      <c r="G7" s="411" t="s">
        <v>297</v>
      </c>
      <c r="I7" s="407"/>
      <c r="J7" s="408" t="s">
        <v>296</v>
      </c>
      <c r="K7" s="409"/>
      <c r="L7" s="410">
        <f>(L8/1000)*L9*L10*12</f>
        <v>3120</v>
      </c>
      <c r="M7" s="411" t="s">
        <v>297</v>
      </c>
      <c r="O7" s="407"/>
      <c r="P7" s="408" t="s">
        <v>296</v>
      </c>
      <c r="Q7" s="412"/>
      <c r="R7" s="413">
        <f>(R8/1000)*R9*R10*12</f>
        <v>374.40000000000003</v>
      </c>
      <c r="S7" s="411" t="s">
        <v>297</v>
      </c>
      <c r="W7" s="662"/>
      <c r="X7" s="1086" t="s">
        <v>494</v>
      </c>
      <c r="Y7" s="1086"/>
      <c r="Z7" s="1086"/>
      <c r="AA7" s="1086"/>
      <c r="AB7" s="1086"/>
      <c r="AC7" s="1086"/>
      <c r="AD7" s="1086"/>
      <c r="AE7" s="1086"/>
      <c r="AF7" s="674"/>
      <c r="AG7" s="642"/>
      <c r="AH7" s="530"/>
      <c r="AI7"/>
    </row>
    <row r="8" spans="2:35" s="1" customFormat="1" ht="15.75" customHeight="1">
      <c r="B8" s="164"/>
      <c r="C8" s="164"/>
      <c r="D8" s="414" t="s">
        <v>298</v>
      </c>
      <c r="E8" s="164"/>
      <c r="F8" s="129">
        <v>1000</v>
      </c>
      <c r="G8" s="415" t="s">
        <v>211</v>
      </c>
      <c r="I8" s="407"/>
      <c r="J8" s="414" t="s">
        <v>298</v>
      </c>
      <c r="K8" s="164"/>
      <c r="L8" s="129">
        <v>500</v>
      </c>
      <c r="M8" s="415" t="s">
        <v>211</v>
      </c>
      <c r="O8" s="407"/>
      <c r="P8" s="414" t="s">
        <v>298</v>
      </c>
      <c r="Q8" s="164"/>
      <c r="R8" s="164">
        <v>100</v>
      </c>
      <c r="S8" s="415" t="s">
        <v>211</v>
      </c>
      <c r="W8" s="528"/>
      <c r="X8" s="529"/>
      <c r="Y8" s="529"/>
      <c r="Z8" s="529"/>
      <c r="AA8" s="529"/>
      <c r="AB8" s="529"/>
      <c r="AC8" s="529"/>
      <c r="AD8" s="529"/>
      <c r="AE8" s="529"/>
      <c r="AF8" s="529"/>
      <c r="AG8" s="529"/>
      <c r="AH8" s="530"/>
      <c r="AI8"/>
    </row>
    <row r="9" spans="2:35" s="1" customFormat="1" ht="15.75" customHeight="1">
      <c r="B9" s="164"/>
      <c r="C9" s="164"/>
      <c r="D9" s="414" t="s">
        <v>299</v>
      </c>
      <c r="E9" s="164"/>
      <c r="F9" s="164">
        <v>26</v>
      </c>
      <c r="G9" s="415"/>
      <c r="I9" s="407"/>
      <c r="J9" s="414" t="s">
        <v>299</v>
      </c>
      <c r="K9" s="164"/>
      <c r="L9" s="164">
        <v>26</v>
      </c>
      <c r="M9" s="415"/>
      <c r="O9" s="407"/>
      <c r="P9" s="414" t="s">
        <v>299</v>
      </c>
      <c r="Q9" s="164"/>
      <c r="R9" s="164">
        <v>26</v>
      </c>
      <c r="S9" s="415"/>
      <c r="W9" s="531"/>
      <c r="X9" s="532"/>
      <c r="Y9" s="532"/>
      <c r="Z9" s="532"/>
      <c r="AA9" s="532"/>
      <c r="AB9" s="532"/>
      <c r="AC9" s="532"/>
      <c r="AD9" s="532"/>
      <c r="AE9" s="532"/>
      <c r="AF9" s="532"/>
      <c r="AG9" s="532"/>
      <c r="AH9" s="530"/>
      <c r="AI9"/>
    </row>
    <row r="10" spans="2:35" s="1" customFormat="1" ht="18.75" thickBot="1">
      <c r="B10" s="164"/>
      <c r="C10" s="164"/>
      <c r="D10" s="416" t="s">
        <v>300</v>
      </c>
      <c r="E10" s="417"/>
      <c r="F10" s="417">
        <v>20</v>
      </c>
      <c r="G10" s="418"/>
      <c r="I10" s="407"/>
      <c r="J10" s="416" t="s">
        <v>300</v>
      </c>
      <c r="K10" s="417"/>
      <c r="L10" s="417">
        <v>20</v>
      </c>
      <c r="M10" s="418"/>
      <c r="O10" s="407"/>
      <c r="P10" s="416" t="s">
        <v>300</v>
      </c>
      <c r="Q10" s="417"/>
      <c r="R10" s="417">
        <v>12</v>
      </c>
      <c r="S10" s="418"/>
      <c r="W10" s="1074" t="s">
        <v>382</v>
      </c>
      <c r="X10" s="1075"/>
      <c r="Y10" s="1075"/>
      <c r="Z10" s="1075"/>
      <c r="AA10" s="1075"/>
      <c r="AB10" s="1075"/>
      <c r="AC10" s="1075"/>
      <c r="AD10" s="532"/>
      <c r="AE10" s="532"/>
      <c r="AF10" s="532"/>
      <c r="AG10" s="532"/>
      <c r="AH10" s="530"/>
      <c r="AI10"/>
    </row>
    <row r="11" spans="9:35" s="1" customFormat="1" ht="12.75">
      <c r="I11" s="407"/>
      <c r="O11" s="407"/>
      <c r="W11" s="533"/>
      <c r="X11" s="532"/>
      <c r="Y11" s="317"/>
      <c r="Z11" s="317"/>
      <c r="AA11" s="532"/>
      <c r="AB11" s="532"/>
      <c r="AC11" s="532"/>
      <c r="AD11" s="532"/>
      <c r="AE11" s="532"/>
      <c r="AF11" s="532"/>
      <c r="AG11" s="532"/>
      <c r="AH11" s="530"/>
      <c r="AI11"/>
    </row>
    <row r="12" spans="1:35" s="1" customFormat="1" ht="12.75">
      <c r="A12" s="419"/>
      <c r="B12" s="419"/>
      <c r="C12" s="419"/>
      <c r="D12" s="419"/>
      <c r="E12" s="419"/>
      <c r="F12" s="419"/>
      <c r="G12" s="419"/>
      <c r="I12" s="407"/>
      <c r="J12" s="419"/>
      <c r="K12" s="419"/>
      <c r="L12" s="419"/>
      <c r="M12" s="419"/>
      <c r="O12" s="407"/>
      <c r="P12" s="419"/>
      <c r="Q12" s="419"/>
      <c r="R12" s="419"/>
      <c r="S12" s="419"/>
      <c r="W12" s="533"/>
      <c r="X12" s="532"/>
      <c r="Y12" s="317"/>
      <c r="Z12" s="317"/>
      <c r="AA12" s="532"/>
      <c r="AB12" s="532"/>
      <c r="AC12" s="532"/>
      <c r="AD12" s="532"/>
      <c r="AE12" s="532"/>
      <c r="AF12" s="532"/>
      <c r="AG12" s="532"/>
      <c r="AH12" s="530"/>
      <c r="AI12"/>
    </row>
    <row r="13" spans="2:35" s="1" customFormat="1" ht="18">
      <c r="B13" s="429" t="s">
        <v>301</v>
      </c>
      <c r="C13" s="419"/>
      <c r="D13" s="419"/>
      <c r="E13" s="421"/>
      <c r="F13" s="422" t="s">
        <v>302</v>
      </c>
      <c r="G13" s="421"/>
      <c r="I13" s="407"/>
      <c r="J13" s="419"/>
      <c r="K13" s="421"/>
      <c r="L13" s="422" t="s">
        <v>302</v>
      </c>
      <c r="M13" s="421"/>
      <c r="O13" s="407"/>
      <c r="P13" s="419"/>
      <c r="Q13" s="421"/>
      <c r="R13" s="422" t="s">
        <v>302</v>
      </c>
      <c r="S13" s="421"/>
      <c r="W13" s="644" t="s">
        <v>384</v>
      </c>
      <c r="X13" s="645">
        <v>374</v>
      </c>
      <c r="Y13" s="645">
        <v>750</v>
      </c>
      <c r="Z13" s="645">
        <v>1200</v>
      </c>
      <c r="AA13" s="645">
        <v>1870</v>
      </c>
      <c r="AB13" s="645">
        <v>3120</v>
      </c>
      <c r="AC13" s="645">
        <v>3295</v>
      </c>
      <c r="AD13" s="645">
        <v>6240</v>
      </c>
      <c r="AE13" s="645">
        <v>7490</v>
      </c>
      <c r="AF13" s="645">
        <v>14980</v>
      </c>
      <c r="AG13" s="532"/>
      <c r="AH13" s="530"/>
      <c r="AI13"/>
    </row>
    <row r="14" spans="1:34" ht="12.75">
      <c r="A14" s="148"/>
      <c r="B14" s="148"/>
      <c r="C14" s="148"/>
      <c r="D14" s="148"/>
      <c r="E14" s="424"/>
      <c r="F14" s="424"/>
      <c r="G14" s="424"/>
      <c r="I14" s="425"/>
      <c r="J14" s="148"/>
      <c r="K14" s="424"/>
      <c r="L14" s="424"/>
      <c r="M14" s="424"/>
      <c r="O14" s="425"/>
      <c r="P14" s="148"/>
      <c r="Q14" s="424"/>
      <c r="R14" s="424"/>
      <c r="S14" s="424"/>
      <c r="W14" s="644" t="s">
        <v>157</v>
      </c>
      <c r="X14" s="646"/>
      <c r="Y14" s="646"/>
      <c r="Z14" s="646">
        <v>1.1</v>
      </c>
      <c r="AA14" s="646"/>
      <c r="AB14" s="646"/>
      <c r="AC14" s="646">
        <v>1.72</v>
      </c>
      <c r="AD14" s="646"/>
      <c r="AE14" s="646"/>
      <c r="AF14" s="646">
        <v>5.82</v>
      </c>
      <c r="AG14" s="532"/>
      <c r="AH14" s="530"/>
    </row>
    <row r="15" spans="1:34" ht="12.75">
      <c r="A15" s="148">
        <v>1</v>
      </c>
      <c r="B15" s="148" t="s">
        <v>303</v>
      </c>
      <c r="C15" s="148" t="s">
        <v>304</v>
      </c>
      <c r="D15" s="150">
        <v>4500</v>
      </c>
      <c r="E15" s="424" t="s">
        <v>305</v>
      </c>
      <c r="F15" s="426">
        <f>D15*200</f>
        <v>900000</v>
      </c>
      <c r="G15" s="424"/>
      <c r="I15" s="425"/>
      <c r="J15" s="150">
        <v>3500</v>
      </c>
      <c r="K15" s="424" t="s">
        <v>305</v>
      </c>
      <c r="L15" s="426">
        <f>J15*200</f>
        <v>700000</v>
      </c>
      <c r="M15" s="424"/>
      <c r="O15" s="425"/>
      <c r="P15" s="150">
        <v>2000</v>
      </c>
      <c r="Q15" s="424" t="s">
        <v>305</v>
      </c>
      <c r="R15" s="426">
        <f>P15*200</f>
        <v>400000</v>
      </c>
      <c r="S15" s="424"/>
      <c r="W15" s="644" t="s">
        <v>156</v>
      </c>
      <c r="X15" s="646"/>
      <c r="Y15" s="646">
        <v>0.84</v>
      </c>
      <c r="Z15" s="646"/>
      <c r="AA15" s="646">
        <v>1.3</v>
      </c>
      <c r="AB15" s="646"/>
      <c r="AC15" s="646"/>
      <c r="AD15" s="646"/>
      <c r="AE15" s="646">
        <v>3.07</v>
      </c>
      <c r="AF15" s="646">
        <v>5.28</v>
      </c>
      <c r="AG15" s="532"/>
      <c r="AH15" s="530"/>
    </row>
    <row r="16" spans="1:34" ht="12.75">
      <c r="A16" s="148"/>
      <c r="B16" s="148"/>
      <c r="C16" s="148"/>
      <c r="D16" s="150"/>
      <c r="E16" s="424"/>
      <c r="F16" s="426"/>
      <c r="G16" s="424"/>
      <c r="I16" s="425"/>
      <c r="J16" s="150"/>
      <c r="K16" s="424"/>
      <c r="L16" s="426"/>
      <c r="M16" s="424"/>
      <c r="O16" s="425"/>
      <c r="P16" s="150"/>
      <c r="Q16" s="424"/>
      <c r="R16" s="426"/>
      <c r="S16" s="424"/>
      <c r="W16" s="644" t="s">
        <v>163</v>
      </c>
      <c r="X16" s="646">
        <v>0.99</v>
      </c>
      <c r="Y16" s="646"/>
      <c r="Z16" s="646"/>
      <c r="AA16" s="646"/>
      <c r="AB16" s="646">
        <v>2.22</v>
      </c>
      <c r="AC16" s="646"/>
      <c r="AD16" s="646">
        <v>3.68</v>
      </c>
      <c r="AE16" s="646"/>
      <c r="AF16" s="646"/>
      <c r="AG16" s="532"/>
      <c r="AH16" s="530"/>
    </row>
    <row r="17" spans="1:34" ht="12.75">
      <c r="A17" s="148"/>
      <c r="B17" s="148"/>
      <c r="C17" s="148"/>
      <c r="D17" s="150"/>
      <c r="E17" s="424"/>
      <c r="F17" s="424"/>
      <c r="G17" s="424"/>
      <c r="I17" s="425"/>
      <c r="J17" s="150"/>
      <c r="K17" s="424"/>
      <c r="L17" s="424"/>
      <c r="M17" s="424"/>
      <c r="O17" s="425"/>
      <c r="P17" s="150"/>
      <c r="Q17" s="424"/>
      <c r="R17" s="424"/>
      <c r="S17" s="424"/>
      <c r="W17" s="531"/>
      <c r="X17" s="532"/>
      <c r="Y17" s="532"/>
      <c r="Z17" s="532"/>
      <c r="AA17" s="532"/>
      <c r="AB17" s="532"/>
      <c r="AC17" s="532"/>
      <c r="AD17" s="532"/>
      <c r="AE17" s="532"/>
      <c r="AF17" s="532"/>
      <c r="AG17" s="532"/>
      <c r="AH17" s="530"/>
    </row>
    <row r="18" spans="1:34" ht="12.75">
      <c r="A18" s="148">
        <v>2</v>
      </c>
      <c r="B18" s="148" t="s">
        <v>306</v>
      </c>
      <c r="C18" s="148"/>
      <c r="D18" s="150"/>
      <c r="E18" s="426"/>
      <c r="F18" s="426"/>
      <c r="G18" s="424"/>
      <c r="I18" s="425"/>
      <c r="J18" s="150"/>
      <c r="K18" s="426"/>
      <c r="L18" s="426"/>
      <c r="M18" s="424"/>
      <c r="O18" s="425"/>
      <c r="P18" s="150"/>
      <c r="Q18" s="426"/>
      <c r="R18" s="426"/>
      <c r="S18" s="424"/>
      <c r="W18" s="531"/>
      <c r="X18" s="532"/>
      <c r="Y18" s="532"/>
      <c r="Z18" s="532"/>
      <c r="AA18" s="532"/>
      <c r="AB18" s="532"/>
      <c r="AC18" s="532"/>
      <c r="AD18" s="532"/>
      <c r="AE18" s="532"/>
      <c r="AF18" s="532"/>
      <c r="AG18" s="532"/>
      <c r="AH18" s="530"/>
    </row>
    <row r="19" spans="1:34" ht="12.75">
      <c r="A19" s="148"/>
      <c r="B19" s="148"/>
      <c r="C19" s="148" t="s">
        <v>307</v>
      </c>
      <c r="D19" s="150">
        <v>2000</v>
      </c>
      <c r="E19" s="426" t="s">
        <v>308</v>
      </c>
      <c r="F19" s="426">
        <f>D19*120</f>
        <v>240000</v>
      </c>
      <c r="G19" s="424"/>
      <c r="I19" s="425"/>
      <c r="J19" s="150">
        <v>1750</v>
      </c>
      <c r="K19" s="426" t="s">
        <v>308</v>
      </c>
      <c r="L19" s="426">
        <f>J19*120</f>
        <v>210000</v>
      </c>
      <c r="M19" s="424"/>
      <c r="O19" s="425"/>
      <c r="P19" s="150">
        <v>1000</v>
      </c>
      <c r="Q19" s="426" t="s">
        <v>308</v>
      </c>
      <c r="R19" s="426">
        <f>P19*120</f>
        <v>120000</v>
      </c>
      <c r="S19" s="424"/>
      <c r="W19" s="531"/>
      <c r="X19" s="532"/>
      <c r="Y19" s="532"/>
      <c r="Z19" s="532"/>
      <c r="AA19" s="532"/>
      <c r="AB19" s="532"/>
      <c r="AC19" s="532"/>
      <c r="AD19" s="532"/>
      <c r="AE19" s="532"/>
      <c r="AF19" s="532"/>
      <c r="AG19" s="532"/>
      <c r="AH19" s="530"/>
    </row>
    <row r="20" spans="1:34" ht="12.75">
      <c r="A20" s="148"/>
      <c r="B20" s="148"/>
      <c r="C20" s="148" t="s">
        <v>309</v>
      </c>
      <c r="D20" s="150">
        <v>250</v>
      </c>
      <c r="E20" s="426">
        <v>2800</v>
      </c>
      <c r="F20" s="426">
        <f>+D20*E20</f>
        <v>700000</v>
      </c>
      <c r="G20" s="424"/>
      <c r="I20" s="425"/>
      <c r="J20" s="150">
        <v>250</v>
      </c>
      <c r="K20" s="426">
        <v>2800</v>
      </c>
      <c r="L20" s="426">
        <f>+J20*K20</f>
        <v>700000</v>
      </c>
      <c r="M20" s="424"/>
      <c r="O20" s="425"/>
      <c r="P20" s="150">
        <v>250</v>
      </c>
      <c r="Q20" s="426">
        <v>2800</v>
      </c>
      <c r="R20" s="426">
        <f>+P20*Q20</f>
        <v>700000</v>
      </c>
      <c r="S20" s="424"/>
      <c r="W20" s="531"/>
      <c r="X20" s="402"/>
      <c r="Y20" s="402"/>
      <c r="Z20" s="402"/>
      <c r="AA20" s="402"/>
      <c r="AB20" s="402"/>
      <c r="AC20" s="402"/>
      <c r="AD20" s="402"/>
      <c r="AE20" s="402"/>
      <c r="AF20" s="402"/>
      <c r="AG20" s="402"/>
      <c r="AH20" s="530"/>
    </row>
    <row r="21" spans="1:34" ht="12.75">
      <c r="A21" s="148"/>
      <c r="B21" s="148"/>
      <c r="C21" s="148" t="s">
        <v>310</v>
      </c>
      <c r="D21" s="148"/>
      <c r="E21" s="426"/>
      <c r="F21" s="426">
        <v>220000</v>
      </c>
      <c r="G21" s="424"/>
      <c r="I21" s="425"/>
      <c r="J21" s="148"/>
      <c r="K21" s="426"/>
      <c r="L21" s="426">
        <v>220000</v>
      </c>
      <c r="M21" s="424"/>
      <c r="O21" s="425"/>
      <c r="P21" s="148"/>
      <c r="Q21" s="426"/>
      <c r="R21" s="426">
        <v>220000</v>
      </c>
      <c r="S21" s="424"/>
      <c r="W21" s="531"/>
      <c r="X21" s="402"/>
      <c r="Y21" s="402"/>
      <c r="Z21" s="402"/>
      <c r="AA21" s="402"/>
      <c r="AB21" s="402"/>
      <c r="AC21" s="402"/>
      <c r="AD21" s="402"/>
      <c r="AE21" s="402"/>
      <c r="AF21" s="402"/>
      <c r="AG21" s="402"/>
      <c r="AH21" s="530"/>
    </row>
    <row r="22" spans="1:34" ht="12.75">
      <c r="A22" s="148"/>
      <c r="B22" s="148"/>
      <c r="C22" s="148" t="s">
        <v>311</v>
      </c>
      <c r="D22" s="148"/>
      <c r="E22" s="426"/>
      <c r="F22" s="426">
        <v>82000</v>
      </c>
      <c r="G22" s="424"/>
      <c r="I22" s="425"/>
      <c r="J22" s="148"/>
      <c r="K22" s="426"/>
      <c r="L22" s="426">
        <v>82000</v>
      </c>
      <c r="M22" s="424"/>
      <c r="O22" s="425"/>
      <c r="P22" s="148"/>
      <c r="Q22" s="426"/>
      <c r="R22" s="426">
        <v>82000</v>
      </c>
      <c r="S22" s="424"/>
      <c r="W22" s="531"/>
      <c r="X22" s="402"/>
      <c r="Y22" s="402"/>
      <c r="Z22" s="402"/>
      <c r="AA22" s="402"/>
      <c r="AB22" s="402"/>
      <c r="AC22" s="402"/>
      <c r="AD22" s="402"/>
      <c r="AE22" s="402"/>
      <c r="AF22" s="402"/>
      <c r="AG22" s="402"/>
      <c r="AH22" s="530"/>
    </row>
    <row r="23" spans="1:34" ht="12.75">
      <c r="A23" s="148"/>
      <c r="B23" s="148"/>
      <c r="C23" s="148"/>
      <c r="D23" s="148"/>
      <c r="E23" s="426"/>
      <c r="F23" s="426"/>
      <c r="G23" s="424"/>
      <c r="I23" s="425"/>
      <c r="J23" s="148"/>
      <c r="K23" s="426"/>
      <c r="L23" s="426"/>
      <c r="M23" s="424"/>
      <c r="O23" s="425"/>
      <c r="P23" s="148"/>
      <c r="Q23" s="424"/>
      <c r="R23" s="424"/>
      <c r="S23" s="424"/>
      <c r="W23" s="531"/>
      <c r="X23" s="402"/>
      <c r="Y23" s="402"/>
      <c r="Z23" s="402"/>
      <c r="AA23" s="402"/>
      <c r="AB23" s="402"/>
      <c r="AC23" s="402"/>
      <c r="AD23" s="402"/>
      <c r="AE23" s="402"/>
      <c r="AF23" s="402"/>
      <c r="AG23" s="402"/>
      <c r="AH23" s="530"/>
    </row>
    <row r="24" spans="1:34" ht="12.75">
      <c r="A24" s="148">
        <v>3</v>
      </c>
      <c r="B24" s="148" t="s">
        <v>312</v>
      </c>
      <c r="C24" s="148" t="s">
        <v>158</v>
      </c>
      <c r="D24" s="148"/>
      <c r="E24" s="426">
        <v>4800000</v>
      </c>
      <c r="F24" s="148"/>
      <c r="G24" s="424"/>
      <c r="H24" s="427"/>
      <c r="I24" s="425"/>
      <c r="J24" s="148"/>
      <c r="K24" s="426">
        <v>3850000</v>
      </c>
      <c r="L24" s="148"/>
      <c r="M24" s="424"/>
      <c r="O24" s="425"/>
      <c r="P24" s="148"/>
      <c r="Q24" s="426">
        <v>1960000</v>
      </c>
      <c r="R24" s="148"/>
      <c r="S24" s="424"/>
      <c r="W24" s="531"/>
      <c r="X24" s="402"/>
      <c r="Y24" s="402"/>
      <c r="Z24" s="402"/>
      <c r="AA24" s="402"/>
      <c r="AB24" s="402"/>
      <c r="AC24" s="402"/>
      <c r="AD24" s="402"/>
      <c r="AE24" s="402"/>
      <c r="AF24" s="402"/>
      <c r="AG24" s="402"/>
      <c r="AH24" s="530"/>
    </row>
    <row r="25" spans="1:34" ht="12.75">
      <c r="A25" s="148"/>
      <c r="B25" s="148"/>
      <c r="C25" s="148" t="s">
        <v>313</v>
      </c>
      <c r="D25" s="428" t="s">
        <v>314</v>
      </c>
      <c r="E25" s="426">
        <v>0</v>
      </c>
      <c r="F25" s="424"/>
      <c r="G25" s="424"/>
      <c r="H25" s="427"/>
      <c r="I25" s="425"/>
      <c r="J25" s="428"/>
      <c r="K25" s="426">
        <v>0</v>
      </c>
      <c r="L25" s="424"/>
      <c r="M25" s="424"/>
      <c r="O25" s="425"/>
      <c r="P25" s="428"/>
      <c r="Q25" s="426">
        <v>0</v>
      </c>
      <c r="R25" s="424"/>
      <c r="S25" s="424"/>
      <c r="W25" s="531"/>
      <c r="X25" s="402"/>
      <c r="Y25" s="402"/>
      <c r="Z25" s="402"/>
      <c r="AA25" s="402"/>
      <c r="AB25" s="402"/>
      <c r="AC25" s="402"/>
      <c r="AD25" s="402"/>
      <c r="AE25" s="402"/>
      <c r="AF25" s="402"/>
      <c r="AG25" s="402"/>
      <c r="AH25" s="530"/>
    </row>
    <row r="26" spans="1:34" ht="12.75">
      <c r="A26" s="148"/>
      <c r="B26" s="148"/>
      <c r="C26" s="148" t="s">
        <v>315</v>
      </c>
      <c r="D26" s="148"/>
      <c r="E26" s="426">
        <v>150000</v>
      </c>
      <c r="F26" s="424"/>
      <c r="G26" s="424"/>
      <c r="H26" s="427"/>
      <c r="I26" s="425"/>
      <c r="J26" s="148"/>
      <c r="K26" s="426">
        <v>150000</v>
      </c>
      <c r="L26" s="424"/>
      <c r="M26" s="424"/>
      <c r="O26" s="425"/>
      <c r="P26" s="148"/>
      <c r="Q26" s="426">
        <v>150000</v>
      </c>
      <c r="R26" s="424"/>
      <c r="S26" s="424"/>
      <c r="W26" s="531"/>
      <c r="X26" s="532"/>
      <c r="Y26" s="532"/>
      <c r="Z26" s="532"/>
      <c r="AA26" s="532"/>
      <c r="AB26" s="532"/>
      <c r="AC26" s="532"/>
      <c r="AD26" s="532"/>
      <c r="AE26" s="532"/>
      <c r="AF26" s="532"/>
      <c r="AG26" s="532"/>
      <c r="AH26" s="530"/>
    </row>
    <row r="27" spans="1:34" ht="12.75">
      <c r="A27" s="148"/>
      <c r="B27" s="148"/>
      <c r="C27" s="148" t="s">
        <v>56</v>
      </c>
      <c r="D27" s="148"/>
      <c r="E27" s="424"/>
      <c r="F27" s="426">
        <f>SUM(E24:E26)</f>
        <v>4950000</v>
      </c>
      <c r="G27" s="424"/>
      <c r="I27" s="425"/>
      <c r="J27" s="148"/>
      <c r="K27" s="424"/>
      <c r="L27" s="426">
        <f>SUM(K24:K26)</f>
        <v>4000000</v>
      </c>
      <c r="M27" s="424"/>
      <c r="O27" s="425"/>
      <c r="P27" s="148"/>
      <c r="Q27" s="424"/>
      <c r="R27" s="426">
        <f>SUM(Q24:Q26)</f>
        <v>2110000</v>
      </c>
      <c r="S27" s="424"/>
      <c r="W27" s="534"/>
      <c r="X27" s="532"/>
      <c r="Y27" s="532"/>
      <c r="Z27" s="532"/>
      <c r="AA27" s="532"/>
      <c r="AB27" s="532"/>
      <c r="AC27" s="532"/>
      <c r="AD27" s="532"/>
      <c r="AE27" s="532"/>
      <c r="AF27" s="532"/>
      <c r="AG27" s="532"/>
      <c r="AH27" s="530"/>
    </row>
    <row r="28" spans="1:34" ht="12.75">
      <c r="A28" s="148"/>
      <c r="B28" s="148"/>
      <c r="C28" s="148"/>
      <c r="D28" s="148"/>
      <c r="E28" s="424"/>
      <c r="F28" s="424"/>
      <c r="G28" s="424"/>
      <c r="I28" s="425"/>
      <c r="J28" s="148"/>
      <c r="K28" s="424"/>
      <c r="L28" s="424"/>
      <c r="M28" s="424"/>
      <c r="O28" s="425"/>
      <c r="P28" s="148"/>
      <c r="Q28" s="424"/>
      <c r="R28" s="424"/>
      <c r="S28" s="424"/>
      <c r="W28" s="531"/>
      <c r="X28" s="317"/>
      <c r="Y28" s="532"/>
      <c r="Z28" s="532"/>
      <c r="AA28" s="532"/>
      <c r="AB28" s="532"/>
      <c r="AC28" s="317"/>
      <c r="AD28" s="532"/>
      <c r="AE28" s="317"/>
      <c r="AF28" s="317"/>
      <c r="AG28" s="317"/>
      <c r="AH28" s="530"/>
    </row>
    <row r="29" spans="1:34" ht="12.75">
      <c r="A29" s="148">
        <v>4</v>
      </c>
      <c r="B29" s="148" t="s">
        <v>316</v>
      </c>
      <c r="C29" s="148"/>
      <c r="D29" s="148"/>
      <c r="E29" s="424"/>
      <c r="F29" s="426">
        <v>400000</v>
      </c>
      <c r="G29" s="424"/>
      <c r="H29" s="427"/>
      <c r="I29" s="425"/>
      <c r="J29" s="148"/>
      <c r="K29" s="424"/>
      <c r="L29" s="426">
        <v>400000</v>
      </c>
      <c r="M29" s="424"/>
      <c r="O29" s="425"/>
      <c r="P29" s="148"/>
      <c r="Q29" s="424"/>
      <c r="R29" s="426">
        <v>400000</v>
      </c>
      <c r="S29" s="424"/>
      <c r="W29" s="534"/>
      <c r="X29" s="317"/>
      <c r="Y29" s="317"/>
      <c r="Z29" s="317"/>
      <c r="AA29" s="317"/>
      <c r="AB29" s="317"/>
      <c r="AC29" s="317"/>
      <c r="AD29" s="317"/>
      <c r="AE29" s="317"/>
      <c r="AF29" s="317"/>
      <c r="AG29" s="317"/>
      <c r="AH29" s="530"/>
    </row>
    <row r="30" spans="1:34" ht="12.75">
      <c r="A30" s="148"/>
      <c r="B30" s="148"/>
      <c r="C30" s="148"/>
      <c r="D30" s="148"/>
      <c r="E30" s="424"/>
      <c r="F30" s="426"/>
      <c r="G30" s="424"/>
      <c r="I30" s="425"/>
      <c r="J30" s="148"/>
      <c r="K30" s="424"/>
      <c r="L30" s="426"/>
      <c r="M30" s="424"/>
      <c r="O30" s="425"/>
      <c r="P30" s="148"/>
      <c r="Q30" s="424"/>
      <c r="R30" s="426"/>
      <c r="S30" s="424"/>
      <c r="W30" s="534"/>
      <c r="X30" s="317"/>
      <c r="Y30" s="317"/>
      <c r="Z30" s="317"/>
      <c r="AA30" s="317"/>
      <c r="AB30" s="317"/>
      <c r="AC30" s="317"/>
      <c r="AD30" s="317"/>
      <c r="AE30" s="317"/>
      <c r="AF30" s="317"/>
      <c r="AG30" s="317"/>
      <c r="AH30" s="530"/>
    </row>
    <row r="31" spans="1:34" ht="12.75">
      <c r="A31" s="148">
        <v>5</v>
      </c>
      <c r="B31" s="148" t="s">
        <v>317</v>
      </c>
      <c r="C31" s="148"/>
      <c r="D31" s="148"/>
      <c r="E31" s="424"/>
      <c r="F31" s="426">
        <f>F27*5%</f>
        <v>247500</v>
      </c>
      <c r="G31" s="424"/>
      <c r="H31" s="427"/>
      <c r="I31" s="425"/>
      <c r="J31" s="148"/>
      <c r="K31" s="424"/>
      <c r="L31" s="426">
        <f>L27*5%</f>
        <v>200000</v>
      </c>
      <c r="M31" s="424"/>
      <c r="O31" s="425"/>
      <c r="P31" s="148"/>
      <c r="Q31" s="424"/>
      <c r="R31" s="426">
        <f>R27*5%</f>
        <v>105500</v>
      </c>
      <c r="S31" s="424"/>
      <c r="T31" s="148"/>
      <c r="W31" s="534"/>
      <c r="X31" s="317"/>
      <c r="Y31" s="317"/>
      <c r="Z31" s="317"/>
      <c r="AA31" s="317"/>
      <c r="AB31" s="317"/>
      <c r="AC31" s="317"/>
      <c r="AD31" s="317"/>
      <c r="AE31" s="317"/>
      <c r="AF31" s="317"/>
      <c r="AG31" s="317"/>
      <c r="AH31" s="530"/>
    </row>
    <row r="32" spans="1:34" ht="12.75">
      <c r="A32" s="148"/>
      <c r="B32" s="148"/>
      <c r="C32" s="148"/>
      <c r="D32" s="148"/>
      <c r="E32" s="424"/>
      <c r="F32" s="424"/>
      <c r="G32" s="424"/>
      <c r="I32" s="425"/>
      <c r="J32" s="148"/>
      <c r="K32" s="424"/>
      <c r="L32" s="424"/>
      <c r="M32" s="424"/>
      <c r="O32" s="425"/>
      <c r="P32" s="148"/>
      <c r="Q32" s="424"/>
      <c r="R32" s="424"/>
      <c r="S32" s="424"/>
      <c r="T32" s="148"/>
      <c r="W32" s="534"/>
      <c r="X32" s="317"/>
      <c r="Y32" s="317"/>
      <c r="Z32" s="317"/>
      <c r="AA32" s="317"/>
      <c r="AB32" s="317"/>
      <c r="AC32" s="317"/>
      <c r="AD32" s="317"/>
      <c r="AE32" s="317"/>
      <c r="AF32" s="317"/>
      <c r="AG32" s="402"/>
      <c r="AH32" s="530"/>
    </row>
    <row r="33" spans="1:35" s="1" customFormat="1" ht="18">
      <c r="A33" s="419"/>
      <c r="B33" s="429" t="s">
        <v>318</v>
      </c>
      <c r="C33" s="419"/>
      <c r="D33" s="419"/>
      <c r="E33" s="421"/>
      <c r="F33" s="430">
        <f>SUM(F15:F32)</f>
        <v>7739500</v>
      </c>
      <c r="G33" s="421"/>
      <c r="I33" s="407"/>
      <c r="J33" s="419"/>
      <c r="K33" s="421"/>
      <c r="L33" s="430">
        <f>SUM(L15:L32)</f>
        <v>6512000</v>
      </c>
      <c r="M33" s="421"/>
      <c r="O33" s="407"/>
      <c r="P33" s="419"/>
      <c r="Q33" s="421"/>
      <c r="R33" s="430">
        <f>SUM(R15:R32)</f>
        <v>4137500</v>
      </c>
      <c r="S33" s="421"/>
      <c r="T33" s="419"/>
      <c r="W33" s="534"/>
      <c r="X33" s="317"/>
      <c r="Y33" s="317"/>
      <c r="Z33" s="317"/>
      <c r="AA33" s="317"/>
      <c r="AB33" s="317"/>
      <c r="AC33" s="317"/>
      <c r="AD33" s="317"/>
      <c r="AE33" s="317"/>
      <c r="AF33" s="317"/>
      <c r="AG33" s="317"/>
      <c r="AH33" s="530"/>
      <c r="AI33"/>
    </row>
    <row r="34" spans="1:35" s="1" customFormat="1" ht="12.75">
      <c r="A34" s="419"/>
      <c r="B34" s="419"/>
      <c r="C34" s="419"/>
      <c r="D34" s="419"/>
      <c r="E34" s="421"/>
      <c r="F34" s="431"/>
      <c r="G34" s="421"/>
      <c r="H34" s="432"/>
      <c r="I34" s="407"/>
      <c r="J34" s="419"/>
      <c r="K34" s="421"/>
      <c r="L34" s="431"/>
      <c r="M34" s="421"/>
      <c r="O34" s="407"/>
      <c r="P34" s="419"/>
      <c r="Q34" s="421"/>
      <c r="R34" s="431"/>
      <c r="S34" s="421"/>
      <c r="T34" s="419"/>
      <c r="W34" s="534"/>
      <c r="X34" s="317"/>
      <c r="Y34" s="317"/>
      <c r="Z34" s="317"/>
      <c r="AA34" s="317"/>
      <c r="AB34" s="317"/>
      <c r="AC34" s="317"/>
      <c r="AD34" s="317"/>
      <c r="AE34" s="317"/>
      <c r="AF34" s="317"/>
      <c r="AG34" s="317"/>
      <c r="AH34" s="530"/>
      <c r="AI34"/>
    </row>
    <row r="35" spans="1:34" ht="12.75">
      <c r="A35" s="148"/>
      <c r="B35" s="148"/>
      <c r="C35" s="148"/>
      <c r="D35" s="148"/>
      <c r="E35" s="424"/>
      <c r="I35" s="425"/>
      <c r="J35" s="148"/>
      <c r="K35" s="424"/>
      <c r="O35" s="425"/>
      <c r="P35" s="148"/>
      <c r="Q35" s="424"/>
      <c r="R35" s="424"/>
      <c r="S35" s="424"/>
      <c r="T35" s="148"/>
      <c r="W35" s="534"/>
      <c r="X35" s="317"/>
      <c r="Y35" s="317"/>
      <c r="Z35" s="317"/>
      <c r="AA35" s="317"/>
      <c r="AB35" s="317"/>
      <c r="AC35" s="317"/>
      <c r="AD35" s="317"/>
      <c r="AE35" s="317"/>
      <c r="AF35" s="317"/>
      <c r="AG35" s="317"/>
      <c r="AH35" s="530"/>
    </row>
    <row r="36" spans="2:35" s="1" customFormat="1" ht="18">
      <c r="B36" s="429" t="s">
        <v>497</v>
      </c>
      <c r="C36" s="419"/>
      <c r="D36" s="419"/>
      <c r="E36" s="421"/>
      <c r="F36" s="422" t="s">
        <v>319</v>
      </c>
      <c r="G36" s="421"/>
      <c r="I36" s="407"/>
      <c r="J36" s="419"/>
      <c r="K36" s="421"/>
      <c r="L36" s="422" t="s">
        <v>319</v>
      </c>
      <c r="M36" s="421"/>
      <c r="O36" s="407"/>
      <c r="P36" s="419"/>
      <c r="Q36" s="421"/>
      <c r="R36" s="422" t="s">
        <v>319</v>
      </c>
      <c r="S36" s="421"/>
      <c r="T36" s="419"/>
      <c r="W36" s="534"/>
      <c r="X36" s="317"/>
      <c r="Y36" s="317"/>
      <c r="Z36" s="317"/>
      <c r="AA36" s="317"/>
      <c r="AB36" s="317"/>
      <c r="AC36" s="317"/>
      <c r="AD36" s="317"/>
      <c r="AE36" s="317"/>
      <c r="AF36" s="317"/>
      <c r="AG36" s="317"/>
      <c r="AH36" s="530"/>
      <c r="AI36"/>
    </row>
    <row r="37" spans="1:35" s="1" customFormat="1" ht="12.75">
      <c r="A37" s="419"/>
      <c r="B37" s="419"/>
      <c r="C37" s="419"/>
      <c r="D37" s="419"/>
      <c r="E37" s="421"/>
      <c r="F37" s="421" t="s">
        <v>302</v>
      </c>
      <c r="G37" s="433" t="s">
        <v>320</v>
      </c>
      <c r="I37" s="407"/>
      <c r="J37" s="419"/>
      <c r="K37" s="421"/>
      <c r="L37" s="421" t="s">
        <v>302</v>
      </c>
      <c r="M37" s="433" t="s">
        <v>320</v>
      </c>
      <c r="O37" s="407"/>
      <c r="P37" s="148"/>
      <c r="Q37" s="424"/>
      <c r="R37" s="421" t="s">
        <v>302</v>
      </c>
      <c r="S37" s="433" t="s">
        <v>320</v>
      </c>
      <c r="T37" s="148"/>
      <c r="U37"/>
      <c r="W37" s="531"/>
      <c r="X37" s="317"/>
      <c r="Y37" s="317"/>
      <c r="Z37" s="317"/>
      <c r="AA37" s="317"/>
      <c r="AB37" s="317"/>
      <c r="AC37" s="317"/>
      <c r="AD37" s="317"/>
      <c r="AE37" s="317"/>
      <c r="AF37" s="317"/>
      <c r="AG37" s="317"/>
      <c r="AH37" s="530"/>
      <c r="AI37"/>
    </row>
    <row r="38" spans="1:34" ht="12.75">
      <c r="A38" s="148"/>
      <c r="B38" s="148"/>
      <c r="C38" s="148"/>
      <c r="D38" s="148"/>
      <c r="E38" s="424"/>
      <c r="F38" s="424"/>
      <c r="G38" s="424"/>
      <c r="H38" t="s">
        <v>321</v>
      </c>
      <c r="I38" s="425"/>
      <c r="J38" s="148"/>
      <c r="K38" s="424"/>
      <c r="L38" s="424"/>
      <c r="M38" s="424"/>
      <c r="N38" t="s">
        <v>321</v>
      </c>
      <c r="O38" s="425"/>
      <c r="P38" s="148"/>
      <c r="Q38" s="424"/>
      <c r="R38" s="424"/>
      <c r="S38" s="433"/>
      <c r="T38" t="s">
        <v>321</v>
      </c>
      <c r="W38" s="534"/>
      <c r="X38" s="317"/>
      <c r="Y38" s="317"/>
      <c r="Z38" s="317"/>
      <c r="AA38" s="317"/>
      <c r="AB38" s="317"/>
      <c r="AC38" s="317"/>
      <c r="AD38" s="317"/>
      <c r="AE38" s="317"/>
      <c r="AF38" s="317"/>
      <c r="AG38" s="317"/>
      <c r="AH38" s="530"/>
    </row>
    <row r="39" spans="1:34" ht="12.75">
      <c r="A39" s="148">
        <v>6</v>
      </c>
      <c r="B39" s="148" t="s">
        <v>322</v>
      </c>
      <c r="C39" s="148" t="s">
        <v>323</v>
      </c>
      <c r="D39" s="148"/>
      <c r="E39" s="424">
        <v>410</v>
      </c>
      <c r="F39" s="426">
        <f>(E39/63)*G39*F9*F10*12</f>
        <v>1258895.238095238</v>
      </c>
      <c r="G39" s="434">
        <v>31</v>
      </c>
      <c r="H39" t="s">
        <v>324</v>
      </c>
      <c r="I39" s="425"/>
      <c r="J39" s="148"/>
      <c r="K39" s="424">
        <v>190</v>
      </c>
      <c r="L39" s="426">
        <f>(K39/63)*M39*L9*L10*12</f>
        <v>583390.4761904762</v>
      </c>
      <c r="M39" s="434">
        <v>31</v>
      </c>
      <c r="N39" t="s">
        <v>324</v>
      </c>
      <c r="O39" s="425"/>
      <c r="P39" s="148"/>
      <c r="Q39" s="424">
        <v>95</v>
      </c>
      <c r="R39" s="426">
        <f>(Q39/63)*S39*R9*R10*12</f>
        <v>175017.14285714287</v>
      </c>
      <c r="S39" s="434">
        <v>31</v>
      </c>
      <c r="T39" s="148" t="s">
        <v>324</v>
      </c>
      <c r="W39" s="534"/>
      <c r="X39" s="317"/>
      <c r="Y39" s="317"/>
      <c r="Z39" s="317"/>
      <c r="AA39" s="317"/>
      <c r="AB39" s="317"/>
      <c r="AC39" s="317"/>
      <c r="AD39" s="317"/>
      <c r="AE39" s="317"/>
      <c r="AF39" s="317"/>
      <c r="AG39" s="317"/>
      <c r="AH39" s="530"/>
    </row>
    <row r="40" spans="1:34" ht="12.75">
      <c r="A40" s="148"/>
      <c r="B40" s="148" t="s">
        <v>325</v>
      </c>
      <c r="C40" s="148" t="s">
        <v>326</v>
      </c>
      <c r="D40" s="435">
        <v>22.7</v>
      </c>
      <c r="E40" s="424">
        <f>+D40*F$10</f>
        <v>454</v>
      </c>
      <c r="F40" s="426">
        <f>E40*G40*F$9*12</f>
        <v>28329.600000000002</v>
      </c>
      <c r="G40" s="434">
        <v>0.2</v>
      </c>
      <c r="H40" t="s">
        <v>327</v>
      </c>
      <c r="I40" s="425"/>
      <c r="J40" s="148">
        <f>+K40/L10</f>
        <v>11.75</v>
      </c>
      <c r="K40" s="424">
        <v>235</v>
      </c>
      <c r="L40" s="426">
        <f>K40*M40*L9*12</f>
        <v>14664</v>
      </c>
      <c r="M40" s="434">
        <v>0.2</v>
      </c>
      <c r="N40" t="s">
        <v>327</v>
      </c>
      <c r="O40" s="425"/>
      <c r="P40" s="148">
        <v>5</v>
      </c>
      <c r="Q40" s="424">
        <f>+P40*R$10</f>
        <v>60</v>
      </c>
      <c r="R40" s="426">
        <f>Q40*S40*R$9*12</f>
        <v>3744</v>
      </c>
      <c r="S40" s="434">
        <v>0.2</v>
      </c>
      <c r="T40" s="148" t="s">
        <v>327</v>
      </c>
      <c r="W40" s="534"/>
      <c r="X40" s="317"/>
      <c r="Y40" s="317"/>
      <c r="Z40" s="317"/>
      <c r="AA40" s="317"/>
      <c r="AB40" s="317"/>
      <c r="AC40" s="317"/>
      <c r="AD40" s="317"/>
      <c r="AE40" s="317"/>
      <c r="AF40" s="317"/>
      <c r="AG40" s="317"/>
      <c r="AH40" s="530"/>
    </row>
    <row r="41" spans="1:34" ht="12.75">
      <c r="A41" s="148"/>
      <c r="B41" s="148"/>
      <c r="C41" s="148" t="s">
        <v>328</v>
      </c>
      <c r="D41" s="148"/>
      <c r="E41" s="424">
        <v>1</v>
      </c>
      <c r="F41" s="426">
        <f>+E41*G41*F9*12</f>
        <v>2184</v>
      </c>
      <c r="G41" s="434">
        <v>7</v>
      </c>
      <c r="H41" t="s">
        <v>329</v>
      </c>
      <c r="I41" s="425"/>
      <c r="J41" s="148"/>
      <c r="K41" s="424">
        <v>0.5</v>
      </c>
      <c r="L41" s="426">
        <f>+K41*M41*L9*12</f>
        <v>1092</v>
      </c>
      <c r="M41" s="434">
        <v>7</v>
      </c>
      <c r="N41" t="s">
        <v>329</v>
      </c>
      <c r="O41" s="425"/>
      <c r="P41" s="148"/>
      <c r="Q41" s="424">
        <v>0.25</v>
      </c>
      <c r="R41" s="426">
        <f>+Q41*S41*R9*12</f>
        <v>546</v>
      </c>
      <c r="S41" s="434">
        <v>7</v>
      </c>
      <c r="T41" s="148" t="s">
        <v>329</v>
      </c>
      <c r="W41" s="534"/>
      <c r="X41" s="317"/>
      <c r="Y41" s="317"/>
      <c r="Z41" s="317"/>
      <c r="AA41" s="317"/>
      <c r="AB41" s="317"/>
      <c r="AC41" s="317"/>
      <c r="AD41" s="317"/>
      <c r="AE41" s="317"/>
      <c r="AF41" s="317"/>
      <c r="AG41" s="317"/>
      <c r="AH41" s="530"/>
    </row>
    <row r="42" spans="1:34" ht="12.75">
      <c r="A42" s="148"/>
      <c r="B42" s="148"/>
      <c r="C42" s="148" t="s">
        <v>330</v>
      </c>
      <c r="D42" s="148"/>
      <c r="E42" s="436">
        <v>0.1</v>
      </c>
      <c r="F42" s="426">
        <f>E24*E42</f>
        <v>480000</v>
      </c>
      <c r="G42" s="434"/>
      <c r="I42" s="425"/>
      <c r="J42" s="148"/>
      <c r="K42" s="436">
        <v>0.1</v>
      </c>
      <c r="L42" s="426">
        <f>K24*K42</f>
        <v>385000</v>
      </c>
      <c r="M42" s="434"/>
      <c r="O42" s="425"/>
      <c r="P42" s="148"/>
      <c r="Q42" s="436">
        <v>0.1</v>
      </c>
      <c r="R42" s="426">
        <f>Q24*Q42</f>
        <v>196000</v>
      </c>
      <c r="S42" s="434"/>
      <c r="T42" s="148"/>
      <c r="W42" s="534"/>
      <c r="X42" s="317"/>
      <c r="Y42" s="317"/>
      <c r="Z42" s="317"/>
      <c r="AA42" s="317"/>
      <c r="AB42" s="317"/>
      <c r="AC42" s="317"/>
      <c r="AD42" s="317"/>
      <c r="AE42" s="317"/>
      <c r="AF42" s="317"/>
      <c r="AG42" s="317"/>
      <c r="AH42" s="530"/>
    </row>
    <row r="43" spans="1:34" ht="12.75">
      <c r="A43" s="148"/>
      <c r="B43" s="148"/>
      <c r="C43" s="148" t="s">
        <v>331</v>
      </c>
      <c r="D43" s="148"/>
      <c r="E43" s="424">
        <v>0.095</v>
      </c>
      <c r="F43" s="437">
        <f>E43*F7*1000*G43</f>
        <v>533520</v>
      </c>
      <c r="G43" s="434">
        <v>0.9</v>
      </c>
      <c r="H43" t="s">
        <v>332</v>
      </c>
      <c r="I43" s="425"/>
      <c r="J43" s="148"/>
      <c r="K43" s="424">
        <v>0.095</v>
      </c>
      <c r="L43" s="437">
        <f>K43*L7*1000*M43</f>
        <v>266760</v>
      </c>
      <c r="M43" s="434">
        <v>0.9</v>
      </c>
      <c r="N43" t="s">
        <v>332</v>
      </c>
      <c r="O43" s="425"/>
      <c r="P43" s="148"/>
      <c r="Q43" s="424">
        <v>0.095</v>
      </c>
      <c r="R43" s="437">
        <f>Q43*R7*1000*S43</f>
        <v>32011.200000000008</v>
      </c>
      <c r="S43" s="434">
        <v>0.9</v>
      </c>
      <c r="T43" s="148" t="s">
        <v>332</v>
      </c>
      <c r="W43" s="534"/>
      <c r="X43" s="317"/>
      <c r="Y43" s="317"/>
      <c r="Z43" s="317"/>
      <c r="AA43" s="317"/>
      <c r="AB43" s="317"/>
      <c r="AC43" s="317"/>
      <c r="AD43" s="317"/>
      <c r="AE43" s="317"/>
      <c r="AF43" s="317"/>
      <c r="AG43" s="317"/>
      <c r="AH43" s="530"/>
    </row>
    <row r="44" spans="1:34" ht="18">
      <c r="A44" s="148"/>
      <c r="B44" s="148"/>
      <c r="C44" s="148"/>
      <c r="D44" s="148"/>
      <c r="E44" s="424"/>
      <c r="F44" s="437"/>
      <c r="G44" s="434"/>
      <c r="I44" s="425"/>
      <c r="J44" s="148"/>
      <c r="K44" s="424"/>
      <c r="L44" s="437"/>
      <c r="M44" s="434"/>
      <c r="O44" s="425"/>
      <c r="P44" s="148"/>
      <c r="Q44" s="424"/>
      <c r="R44" s="437"/>
      <c r="S44" s="434"/>
      <c r="T44" s="148"/>
      <c r="W44" s="1074" t="s">
        <v>385</v>
      </c>
      <c r="X44" s="1075"/>
      <c r="Y44" s="402" t="s">
        <v>381</v>
      </c>
      <c r="Z44" s="402"/>
      <c r="AA44" s="317"/>
      <c r="AB44" s="317"/>
      <c r="AC44" s="535"/>
      <c r="AD44" s="317"/>
      <c r="AE44" s="317"/>
      <c r="AF44" s="317"/>
      <c r="AG44" s="317"/>
      <c r="AH44" s="530"/>
    </row>
    <row r="45" spans="1:34" ht="12.75">
      <c r="A45" s="148">
        <v>7</v>
      </c>
      <c r="B45" s="148" t="s">
        <v>325</v>
      </c>
      <c r="C45" s="148" t="s">
        <v>333</v>
      </c>
      <c r="D45" s="435">
        <v>78</v>
      </c>
      <c r="E45" s="424">
        <f>+D45*F$10</f>
        <v>1560</v>
      </c>
      <c r="F45" s="426">
        <f>E45*G45*F$9*12</f>
        <v>97344</v>
      </c>
      <c r="G45" s="434">
        <v>0.2</v>
      </c>
      <c r="H45" s="148" t="s">
        <v>327</v>
      </c>
      <c r="I45" s="425"/>
      <c r="J45" s="148">
        <v>42</v>
      </c>
      <c r="K45" s="424">
        <f>+J45*L$10</f>
        <v>840</v>
      </c>
      <c r="L45" s="426">
        <f>K45*M45*L$9*12</f>
        <v>52416</v>
      </c>
      <c r="M45" s="434">
        <v>0.2</v>
      </c>
      <c r="N45" t="s">
        <v>327</v>
      </c>
      <c r="O45" s="425"/>
      <c r="P45" s="148">
        <v>15</v>
      </c>
      <c r="Q45" s="424">
        <f>+P45*R$10</f>
        <v>180</v>
      </c>
      <c r="R45" s="426">
        <f>Q45*S45*R$9*12</f>
        <v>11232</v>
      </c>
      <c r="S45" s="434">
        <v>0.2</v>
      </c>
      <c r="T45" s="148" t="s">
        <v>327</v>
      </c>
      <c r="W45" s="534"/>
      <c r="X45" s="317"/>
      <c r="Y45" s="317"/>
      <c r="Z45" s="317"/>
      <c r="AA45" s="317"/>
      <c r="AB45" s="317"/>
      <c r="AC45" s="317"/>
      <c r="AD45" s="317"/>
      <c r="AE45" s="317"/>
      <c r="AF45" s="317"/>
      <c r="AG45" s="317"/>
      <c r="AH45" s="530"/>
    </row>
    <row r="46" spans="1:34" ht="12.75">
      <c r="A46" s="148"/>
      <c r="B46" s="148"/>
      <c r="C46" s="148"/>
      <c r="D46" s="148"/>
      <c r="E46" s="424"/>
      <c r="F46" s="424"/>
      <c r="G46" s="434"/>
      <c r="I46" s="425"/>
      <c r="J46" s="148"/>
      <c r="K46" s="424"/>
      <c r="L46" s="424"/>
      <c r="M46" s="434"/>
      <c r="O46" s="425"/>
      <c r="P46" s="148"/>
      <c r="Q46" s="424"/>
      <c r="R46" s="424"/>
      <c r="S46" s="434"/>
      <c r="T46" s="148"/>
      <c r="W46" s="534"/>
      <c r="X46" s="317"/>
      <c r="Y46" s="317"/>
      <c r="Z46" s="317"/>
      <c r="AA46" s="317"/>
      <c r="AB46" s="317"/>
      <c r="AC46" s="317"/>
      <c r="AD46" s="317"/>
      <c r="AE46" s="317"/>
      <c r="AF46" s="317"/>
      <c r="AG46" s="317"/>
      <c r="AH46" s="530"/>
    </row>
    <row r="47" spans="1:34" ht="12.75">
      <c r="A47" s="148">
        <v>8</v>
      </c>
      <c r="B47" s="148" t="s">
        <v>334</v>
      </c>
      <c r="C47" s="148" t="s">
        <v>330</v>
      </c>
      <c r="D47" s="148"/>
      <c r="E47" s="436">
        <v>0.1</v>
      </c>
      <c r="F47" s="426">
        <f>SUM(E26,F31)*10%</f>
        <v>39750</v>
      </c>
      <c r="G47" s="434"/>
      <c r="H47" s="427"/>
      <c r="I47" s="425"/>
      <c r="J47" s="148"/>
      <c r="K47" s="436">
        <v>0.1</v>
      </c>
      <c r="L47" s="426">
        <f>SUM(K26,L31)*10%</f>
        <v>35000</v>
      </c>
      <c r="M47" s="434"/>
      <c r="O47" s="425"/>
      <c r="P47" s="148"/>
      <c r="Q47" s="436">
        <v>0.1</v>
      </c>
      <c r="R47" s="426">
        <f>SUM(Q26,R31)*10%</f>
        <v>25550</v>
      </c>
      <c r="S47" s="434"/>
      <c r="T47" s="148"/>
      <c r="W47" s="644" t="s">
        <v>386</v>
      </c>
      <c r="X47" s="645">
        <v>374</v>
      </c>
      <c r="Y47" s="645">
        <v>750</v>
      </c>
      <c r="Z47" s="645">
        <v>1200</v>
      </c>
      <c r="AA47" s="645">
        <v>1870</v>
      </c>
      <c r="AB47" s="645">
        <v>3120</v>
      </c>
      <c r="AC47" s="645">
        <v>3295</v>
      </c>
      <c r="AD47" s="645">
        <v>6240</v>
      </c>
      <c r="AE47" s="645">
        <v>7490</v>
      </c>
      <c r="AF47" s="645">
        <v>14980</v>
      </c>
      <c r="AG47" s="645">
        <v>22500</v>
      </c>
      <c r="AH47" s="647">
        <v>30000</v>
      </c>
    </row>
    <row r="48" spans="1:34" ht="12.75">
      <c r="A48" s="148"/>
      <c r="B48" s="148"/>
      <c r="C48" s="148"/>
      <c r="D48" s="148"/>
      <c r="E48" s="424"/>
      <c r="F48" s="424"/>
      <c r="G48" s="434"/>
      <c r="I48" s="425"/>
      <c r="J48" s="148"/>
      <c r="K48" s="424"/>
      <c r="L48" s="424"/>
      <c r="M48" s="434"/>
      <c r="O48" s="425"/>
      <c r="P48" s="148"/>
      <c r="Q48" s="424"/>
      <c r="R48" s="424"/>
      <c r="S48" s="434"/>
      <c r="T48" s="148"/>
      <c r="W48" s="644" t="s">
        <v>157</v>
      </c>
      <c r="X48" s="648"/>
      <c r="Y48" s="648"/>
      <c r="Z48" s="648">
        <v>7.4</v>
      </c>
      <c r="AA48" s="648"/>
      <c r="AB48" s="648"/>
      <c r="AC48" s="648">
        <v>9.46</v>
      </c>
      <c r="AD48" s="648"/>
      <c r="AE48" s="648"/>
      <c r="AF48" s="648">
        <v>35.16</v>
      </c>
      <c r="AG48" s="649"/>
      <c r="AH48" s="650"/>
    </row>
    <row r="49" spans="1:34" ht="12.75">
      <c r="A49" s="148">
        <v>9</v>
      </c>
      <c r="B49" s="148" t="s">
        <v>335</v>
      </c>
      <c r="C49" s="148"/>
      <c r="D49" s="148"/>
      <c r="E49" s="424"/>
      <c r="F49" s="424"/>
      <c r="G49" s="434"/>
      <c r="I49" s="425"/>
      <c r="J49" s="148"/>
      <c r="K49" s="424"/>
      <c r="L49" s="424"/>
      <c r="M49" s="434"/>
      <c r="O49" s="425"/>
      <c r="P49" s="148"/>
      <c r="Q49" s="424"/>
      <c r="R49" s="424"/>
      <c r="S49" s="434"/>
      <c r="T49" s="148"/>
      <c r="W49" s="644" t="s">
        <v>156</v>
      </c>
      <c r="X49" s="648"/>
      <c r="Y49" s="648">
        <v>5.41</v>
      </c>
      <c r="Z49" s="648"/>
      <c r="AA49" s="648">
        <v>6.46</v>
      </c>
      <c r="AB49" s="648"/>
      <c r="AC49" s="648"/>
      <c r="AD49" s="648"/>
      <c r="AE49" s="648">
        <v>11.45</v>
      </c>
      <c r="AF49" s="648">
        <v>13.93</v>
      </c>
      <c r="AG49" s="649"/>
      <c r="AH49" s="650"/>
    </row>
    <row r="50" spans="1:34" ht="12.75">
      <c r="A50" s="148"/>
      <c r="B50" s="148" t="s">
        <v>336</v>
      </c>
      <c r="C50" s="148"/>
      <c r="D50" s="148"/>
      <c r="E50" s="436">
        <v>0.15</v>
      </c>
      <c r="F50" s="426">
        <f>F7*E50*G50</f>
        <v>80121.59999999999</v>
      </c>
      <c r="G50" s="434">
        <v>85.6</v>
      </c>
      <c r="H50" t="s">
        <v>337</v>
      </c>
      <c r="I50" s="425"/>
      <c r="J50" s="148"/>
      <c r="K50" s="436">
        <v>0.15</v>
      </c>
      <c r="L50" s="426">
        <f>L7*K50*M50</f>
        <v>40060.799999999996</v>
      </c>
      <c r="M50" s="434">
        <v>85.6</v>
      </c>
      <c r="N50" s="148" t="s">
        <v>337</v>
      </c>
      <c r="O50" s="425"/>
      <c r="P50" s="148"/>
      <c r="Q50" s="436">
        <v>0.15</v>
      </c>
      <c r="R50" s="426">
        <f>R7*Q50*S50</f>
        <v>4807.296</v>
      </c>
      <c r="S50" s="434">
        <v>85.6</v>
      </c>
      <c r="T50" s="148" t="s">
        <v>337</v>
      </c>
      <c r="W50" s="644" t="s">
        <v>163</v>
      </c>
      <c r="X50" s="648">
        <v>4.14</v>
      </c>
      <c r="Y50" s="648"/>
      <c r="Z50" s="648"/>
      <c r="AA50" s="648"/>
      <c r="AB50" s="648">
        <v>6.51</v>
      </c>
      <c r="AC50" s="648"/>
      <c r="AD50" s="648">
        <v>7.74</v>
      </c>
      <c r="AE50" s="648"/>
      <c r="AF50" s="648"/>
      <c r="AG50" s="649"/>
      <c r="AH50" s="650"/>
    </row>
    <row r="51" spans="1:34" ht="12.75">
      <c r="A51" s="148"/>
      <c r="B51" s="148"/>
      <c r="C51" s="148"/>
      <c r="D51" s="148"/>
      <c r="E51" s="424" t="s">
        <v>338</v>
      </c>
      <c r="F51" s="426">
        <f>F7*E50*G51/6</f>
        <v>93600</v>
      </c>
      <c r="G51" s="434">
        <v>600</v>
      </c>
      <c r="H51" t="s">
        <v>339</v>
      </c>
      <c r="I51" s="425"/>
      <c r="J51" s="148"/>
      <c r="K51" s="424" t="s">
        <v>338</v>
      </c>
      <c r="L51" s="426">
        <f>L7*K50*M51/6</f>
        <v>46800</v>
      </c>
      <c r="M51" s="434">
        <v>600</v>
      </c>
      <c r="N51" s="148" t="s">
        <v>339</v>
      </c>
      <c r="O51" s="425"/>
      <c r="P51" s="148"/>
      <c r="Q51" s="424" t="s">
        <v>338</v>
      </c>
      <c r="R51" s="426">
        <f>R7*Q50*S51/6</f>
        <v>5616</v>
      </c>
      <c r="S51" s="434">
        <v>600</v>
      </c>
      <c r="T51" s="148" t="s">
        <v>339</v>
      </c>
      <c r="W51" s="531"/>
      <c r="X51" s="536"/>
      <c r="Y51" s="536"/>
      <c r="Z51" s="536"/>
      <c r="AA51" s="536"/>
      <c r="AB51" s="536"/>
      <c r="AC51" s="536"/>
      <c r="AD51" s="536"/>
      <c r="AE51" s="536"/>
      <c r="AF51" s="536"/>
      <c r="AG51" s="317"/>
      <c r="AH51" s="530"/>
    </row>
    <row r="52" spans="1:34" ht="12.75">
      <c r="A52" s="148"/>
      <c r="B52" s="148"/>
      <c r="C52" s="148" t="s">
        <v>340</v>
      </c>
      <c r="D52" s="148"/>
      <c r="E52" s="438">
        <v>0.025</v>
      </c>
      <c r="F52" s="426">
        <f>F7*E50*E52*G52*1000</f>
        <v>21060.000000000004</v>
      </c>
      <c r="G52" s="434">
        <v>0.9</v>
      </c>
      <c r="H52" t="s">
        <v>341</v>
      </c>
      <c r="I52" s="425"/>
      <c r="J52" s="148"/>
      <c r="K52" s="438">
        <v>0.025</v>
      </c>
      <c r="L52" s="426">
        <f>L7*K50*K52*M52*1000</f>
        <v>10530.000000000002</v>
      </c>
      <c r="M52" s="434">
        <v>0.9</v>
      </c>
      <c r="N52" s="148" t="s">
        <v>341</v>
      </c>
      <c r="O52" s="425"/>
      <c r="P52" s="148"/>
      <c r="Q52" s="438">
        <v>0.025</v>
      </c>
      <c r="R52" s="426">
        <f>R7*Q50*Q52*S52*1000</f>
        <v>1263.6000000000001</v>
      </c>
      <c r="S52" s="434">
        <v>0.9</v>
      </c>
      <c r="T52" s="148" t="s">
        <v>341</v>
      </c>
      <c r="W52" s="531"/>
      <c r="X52" s="536"/>
      <c r="Y52" s="536"/>
      <c r="Z52" s="536"/>
      <c r="AA52" s="536"/>
      <c r="AB52" s="536"/>
      <c r="AC52" s="536"/>
      <c r="AD52" s="536"/>
      <c r="AE52" s="536"/>
      <c r="AF52" s="536"/>
      <c r="AG52" s="317"/>
      <c r="AH52" s="530"/>
    </row>
    <row r="53" spans="1:34" ht="12.75">
      <c r="A53" s="148"/>
      <c r="B53" s="148"/>
      <c r="C53" s="148"/>
      <c r="D53" s="148"/>
      <c r="E53" s="438"/>
      <c r="F53" s="426"/>
      <c r="G53" s="434"/>
      <c r="I53" s="425"/>
      <c r="J53" s="148"/>
      <c r="K53" s="438"/>
      <c r="L53" s="426"/>
      <c r="M53" s="434"/>
      <c r="N53" s="148"/>
      <c r="O53" s="425"/>
      <c r="P53" s="148"/>
      <c r="Q53" s="438"/>
      <c r="R53" s="426"/>
      <c r="S53" s="434"/>
      <c r="T53" s="148"/>
      <c r="W53" s="531"/>
      <c r="X53" s="536"/>
      <c r="Y53" s="536"/>
      <c r="Z53" s="536"/>
      <c r="AA53" s="536"/>
      <c r="AB53" s="536"/>
      <c r="AC53" s="536"/>
      <c r="AD53" s="536"/>
      <c r="AE53" s="536"/>
      <c r="AF53" s="536"/>
      <c r="AG53" s="317"/>
      <c r="AH53" s="530"/>
    </row>
    <row r="54" spans="1:34" ht="12.75">
      <c r="A54" s="148"/>
      <c r="B54" s="148" t="s">
        <v>342</v>
      </c>
      <c r="C54" s="148"/>
      <c r="D54" s="148"/>
      <c r="E54" s="436">
        <v>0.1</v>
      </c>
      <c r="F54" s="426">
        <f>F7*E54*G54</f>
        <v>218400</v>
      </c>
      <c r="G54" s="434">
        <v>350</v>
      </c>
      <c r="H54" s="148" t="s">
        <v>337</v>
      </c>
      <c r="I54" s="425"/>
      <c r="J54" s="148"/>
      <c r="K54" s="436">
        <v>0.1</v>
      </c>
      <c r="L54" s="426">
        <f>L7*K54*M54</f>
        <v>109200</v>
      </c>
      <c r="M54" s="434">
        <v>350</v>
      </c>
      <c r="N54" s="148" t="s">
        <v>337</v>
      </c>
      <c r="O54" s="425"/>
      <c r="P54" s="148"/>
      <c r="Q54" s="436">
        <v>0.1</v>
      </c>
      <c r="R54" s="426">
        <f>R7*Q54*S54</f>
        <v>13104.000000000002</v>
      </c>
      <c r="S54" s="434">
        <v>350</v>
      </c>
      <c r="T54" s="148" t="s">
        <v>337</v>
      </c>
      <c r="W54" s="531"/>
      <c r="X54" s="536"/>
      <c r="Y54" s="536"/>
      <c r="Z54" s="536"/>
      <c r="AA54" s="536"/>
      <c r="AB54" s="536"/>
      <c r="AC54" s="536"/>
      <c r="AD54" s="536"/>
      <c r="AE54" s="536"/>
      <c r="AF54" s="536"/>
      <c r="AG54" s="317"/>
      <c r="AH54" s="530"/>
    </row>
    <row r="55" spans="1:34" ht="12.75">
      <c r="A55" s="148"/>
      <c r="B55" s="148"/>
      <c r="C55" s="148"/>
      <c r="D55" s="148"/>
      <c r="E55" s="424" t="s">
        <v>338</v>
      </c>
      <c r="F55" s="426">
        <f>F7*E54*G55/6</f>
        <v>62400</v>
      </c>
      <c r="G55" s="434">
        <v>600</v>
      </c>
      <c r="H55" s="148" t="s">
        <v>339</v>
      </c>
      <c r="I55" s="425"/>
      <c r="J55" s="148"/>
      <c r="K55" s="424" t="s">
        <v>338</v>
      </c>
      <c r="L55" s="426">
        <f>L7*K54*M55/6</f>
        <v>31200</v>
      </c>
      <c r="M55" s="434">
        <v>600</v>
      </c>
      <c r="N55" s="148" t="s">
        <v>339</v>
      </c>
      <c r="O55" s="425"/>
      <c r="P55" s="148"/>
      <c r="Q55" s="424" t="s">
        <v>338</v>
      </c>
      <c r="R55" s="426">
        <f>R7*Q54*S55/6</f>
        <v>3744.0000000000005</v>
      </c>
      <c r="S55" s="434">
        <v>600</v>
      </c>
      <c r="T55" s="148" t="s">
        <v>339</v>
      </c>
      <c r="W55" s="531"/>
      <c r="X55" s="536"/>
      <c r="Y55" s="536"/>
      <c r="Z55" s="536"/>
      <c r="AA55" s="536"/>
      <c r="AB55" s="536"/>
      <c r="AC55" s="536"/>
      <c r="AD55" s="536"/>
      <c r="AE55" s="536"/>
      <c r="AF55" s="536"/>
      <c r="AG55" s="317"/>
      <c r="AH55" s="530"/>
    </row>
    <row r="56" spans="1:34" ht="12.75">
      <c r="A56" s="148"/>
      <c r="B56" s="148"/>
      <c r="C56" s="148"/>
      <c r="D56" s="148"/>
      <c r="E56" s="438"/>
      <c r="F56" s="426"/>
      <c r="G56" s="434"/>
      <c r="I56" s="425"/>
      <c r="J56" s="148"/>
      <c r="K56" s="438"/>
      <c r="L56" s="426"/>
      <c r="M56" s="434"/>
      <c r="N56" s="148"/>
      <c r="O56" s="425"/>
      <c r="P56" s="148"/>
      <c r="Q56" s="424"/>
      <c r="R56" s="424"/>
      <c r="S56" s="424"/>
      <c r="T56" s="148"/>
      <c r="W56" s="534"/>
      <c r="X56" s="317"/>
      <c r="Y56" s="317"/>
      <c r="Z56" s="317"/>
      <c r="AA56" s="317"/>
      <c r="AB56" s="317"/>
      <c r="AC56" s="317"/>
      <c r="AD56" s="317"/>
      <c r="AE56" s="317"/>
      <c r="AF56" s="317"/>
      <c r="AG56" s="317"/>
      <c r="AH56" s="530"/>
    </row>
    <row r="57" spans="1:34" ht="12.75">
      <c r="A57" s="148">
        <v>10</v>
      </c>
      <c r="B57" s="148" t="s">
        <v>343</v>
      </c>
      <c r="C57" s="148"/>
      <c r="D57" s="148"/>
      <c r="E57" s="424" t="s">
        <v>344</v>
      </c>
      <c r="F57" s="426">
        <v>80000</v>
      </c>
      <c r="G57" s="439" t="s">
        <v>345</v>
      </c>
      <c r="I57" s="425"/>
      <c r="J57" s="148"/>
      <c r="K57" s="424" t="s">
        <v>344</v>
      </c>
      <c r="L57" s="426">
        <v>80000</v>
      </c>
      <c r="M57" s="439" t="s">
        <v>345</v>
      </c>
      <c r="N57" s="148"/>
      <c r="O57" s="425"/>
      <c r="P57" s="148"/>
      <c r="Q57" s="424" t="s">
        <v>344</v>
      </c>
      <c r="R57" s="426">
        <v>80000</v>
      </c>
      <c r="S57" s="439" t="s">
        <v>345</v>
      </c>
      <c r="T57" s="148"/>
      <c r="W57" s="534"/>
      <c r="X57" s="317"/>
      <c r="Y57" s="317"/>
      <c r="Z57" s="317"/>
      <c r="AA57" s="317"/>
      <c r="AB57" s="317"/>
      <c r="AC57" s="317"/>
      <c r="AD57" s="317"/>
      <c r="AE57" s="317"/>
      <c r="AF57" s="317"/>
      <c r="AG57" s="317"/>
      <c r="AH57" s="530"/>
    </row>
    <row r="58" spans="1:34" ht="12.75">
      <c r="A58" s="148">
        <v>11</v>
      </c>
      <c r="B58" s="148" t="s">
        <v>346</v>
      </c>
      <c r="C58" s="148"/>
      <c r="D58" s="148"/>
      <c r="E58" s="424" t="s">
        <v>347</v>
      </c>
      <c r="F58" s="426">
        <v>10000</v>
      </c>
      <c r="G58" s="424"/>
      <c r="I58" s="425"/>
      <c r="J58" s="148"/>
      <c r="K58" s="424" t="s">
        <v>347</v>
      </c>
      <c r="L58" s="426">
        <v>10000</v>
      </c>
      <c r="M58" s="424"/>
      <c r="N58" s="148"/>
      <c r="O58" s="425"/>
      <c r="P58" s="148"/>
      <c r="Q58" s="424" t="s">
        <v>347</v>
      </c>
      <c r="R58" s="426">
        <v>10000</v>
      </c>
      <c r="S58" s="424"/>
      <c r="T58" s="148"/>
      <c r="W58" s="534"/>
      <c r="X58" s="317"/>
      <c r="Y58" s="317"/>
      <c r="Z58" s="317"/>
      <c r="AA58" s="317"/>
      <c r="AB58" s="317"/>
      <c r="AC58" s="317"/>
      <c r="AD58" s="317"/>
      <c r="AE58" s="317"/>
      <c r="AF58" s="317"/>
      <c r="AG58" s="317"/>
      <c r="AH58" s="530"/>
    </row>
    <row r="59" spans="1:34" ht="12.75">
      <c r="A59" s="148"/>
      <c r="B59" s="148"/>
      <c r="C59" s="148"/>
      <c r="D59" s="148"/>
      <c r="E59" s="424"/>
      <c r="F59" s="424"/>
      <c r="G59" s="424"/>
      <c r="I59" s="425"/>
      <c r="J59" s="148"/>
      <c r="K59" s="424"/>
      <c r="L59" s="424"/>
      <c r="M59" s="424"/>
      <c r="N59" s="148"/>
      <c r="O59" s="425"/>
      <c r="P59" s="148"/>
      <c r="Q59" s="424"/>
      <c r="R59" s="424"/>
      <c r="S59" s="424"/>
      <c r="T59" s="148"/>
      <c r="W59" s="534"/>
      <c r="X59" s="317"/>
      <c r="Y59" s="317"/>
      <c r="Z59" s="317"/>
      <c r="AA59" s="317"/>
      <c r="AB59" s="317"/>
      <c r="AC59" s="317"/>
      <c r="AD59" s="317"/>
      <c r="AE59" s="317"/>
      <c r="AF59" s="317"/>
      <c r="AG59" s="317"/>
      <c r="AH59" s="530"/>
    </row>
    <row r="60" spans="1:34" ht="12.75">
      <c r="A60" s="148">
        <v>12</v>
      </c>
      <c r="B60" s="148" t="s">
        <v>348</v>
      </c>
      <c r="C60" s="148"/>
      <c r="D60" s="148"/>
      <c r="E60" s="424"/>
      <c r="F60" s="426">
        <v>600000</v>
      </c>
      <c r="G60" s="424"/>
      <c r="I60" s="425"/>
      <c r="J60" s="148"/>
      <c r="K60" s="424"/>
      <c r="L60" s="426">
        <v>500000</v>
      </c>
      <c r="M60" s="424"/>
      <c r="N60" s="148"/>
      <c r="O60" s="425"/>
      <c r="P60" s="148"/>
      <c r="Q60" s="424"/>
      <c r="R60" s="426">
        <v>400000</v>
      </c>
      <c r="S60" s="424"/>
      <c r="T60" s="148"/>
      <c r="W60" s="534"/>
      <c r="X60" s="317"/>
      <c r="Y60" s="317"/>
      <c r="Z60" s="317"/>
      <c r="AA60" s="317"/>
      <c r="AB60" s="317"/>
      <c r="AC60" s="317"/>
      <c r="AD60" s="317"/>
      <c r="AE60" s="317"/>
      <c r="AF60" s="317"/>
      <c r="AG60" s="317"/>
      <c r="AH60" s="530"/>
    </row>
    <row r="61" spans="1:34" ht="12.75">
      <c r="A61" s="148"/>
      <c r="B61" s="148"/>
      <c r="C61" s="148"/>
      <c r="D61" s="148"/>
      <c r="E61" s="424"/>
      <c r="F61" s="424"/>
      <c r="G61" s="424"/>
      <c r="I61" s="425"/>
      <c r="J61" s="148"/>
      <c r="K61" s="424"/>
      <c r="L61" s="424"/>
      <c r="M61" s="424"/>
      <c r="N61" s="148"/>
      <c r="O61" s="425"/>
      <c r="P61" s="148"/>
      <c r="Q61" s="424"/>
      <c r="R61" s="424"/>
      <c r="S61" s="424"/>
      <c r="T61" s="148"/>
      <c r="W61" s="534"/>
      <c r="X61" s="317"/>
      <c r="Y61" s="317"/>
      <c r="Z61" s="317"/>
      <c r="AA61" s="317"/>
      <c r="AB61" s="317"/>
      <c r="AC61" s="317"/>
      <c r="AD61" s="317"/>
      <c r="AE61" s="317"/>
      <c r="AF61" s="317"/>
      <c r="AG61" s="317"/>
      <c r="AH61" s="530"/>
    </row>
    <row r="62" spans="1:34" ht="12.75">
      <c r="A62" s="148">
        <v>13</v>
      </c>
      <c r="B62" s="148" t="s">
        <v>349</v>
      </c>
      <c r="C62" s="148"/>
      <c r="D62" s="148"/>
      <c r="E62" s="424"/>
      <c r="F62" s="426">
        <v>75000</v>
      </c>
      <c r="G62" s="424"/>
      <c r="I62" s="425"/>
      <c r="J62" s="148"/>
      <c r="K62" s="424"/>
      <c r="L62" s="426">
        <v>50000</v>
      </c>
      <c r="M62" s="424"/>
      <c r="N62" s="148"/>
      <c r="O62" s="425"/>
      <c r="P62" s="148"/>
      <c r="Q62" s="424"/>
      <c r="R62" s="426">
        <v>25000</v>
      </c>
      <c r="S62" s="424"/>
      <c r="T62" s="148"/>
      <c r="W62" s="534"/>
      <c r="X62" s="317"/>
      <c r="Y62" s="317"/>
      <c r="Z62" s="317"/>
      <c r="AA62" s="317"/>
      <c r="AB62" s="317"/>
      <c r="AC62" s="317"/>
      <c r="AD62" s="317"/>
      <c r="AE62" s="317"/>
      <c r="AF62" s="317"/>
      <c r="AG62" s="317"/>
      <c r="AH62" s="530"/>
    </row>
    <row r="63" spans="1:34" ht="15.75">
      <c r="A63" s="148"/>
      <c r="B63" s="148"/>
      <c r="C63" s="148"/>
      <c r="D63" s="148"/>
      <c r="F63" s="440"/>
      <c r="G63" s="424"/>
      <c r="I63" s="425"/>
      <c r="J63" s="148"/>
      <c r="L63" s="440"/>
      <c r="M63" s="424"/>
      <c r="O63" s="425"/>
      <c r="P63" s="148"/>
      <c r="Q63" s="424"/>
      <c r="R63" s="426"/>
      <c r="S63" s="424"/>
      <c r="T63" s="148"/>
      <c r="W63" s="534"/>
      <c r="X63" s="317"/>
      <c r="Y63" s="317"/>
      <c r="Z63" s="317"/>
      <c r="AA63" s="317"/>
      <c r="AB63" s="317"/>
      <c r="AC63" s="317"/>
      <c r="AD63" s="317"/>
      <c r="AE63" s="317"/>
      <c r="AF63" s="317"/>
      <c r="AG63" s="317"/>
      <c r="AH63" s="530"/>
    </row>
    <row r="64" spans="1:35" s="1" customFormat="1" ht="18">
      <c r="A64" s="419"/>
      <c r="B64" s="652" t="s">
        <v>498</v>
      </c>
      <c r="C64" s="419"/>
      <c r="D64" s="419"/>
      <c r="E64" s="422"/>
      <c r="F64" s="440">
        <f>SUM(F39:F62)</f>
        <v>3680604.4380952385</v>
      </c>
      <c r="G64" s="421"/>
      <c r="I64" s="407"/>
      <c r="J64" s="419"/>
      <c r="K64" s="422"/>
      <c r="L64" s="440">
        <f>SUM(L39:L62)</f>
        <v>2216113.2761904765</v>
      </c>
      <c r="M64" s="421"/>
      <c r="O64" s="407"/>
      <c r="P64" s="419"/>
      <c r="Q64" s="422"/>
      <c r="R64" s="440">
        <f>SUM(R39:R62)</f>
        <v>987635.2388571429</v>
      </c>
      <c r="S64" s="421"/>
      <c r="T64" s="419"/>
      <c r="W64" s="534"/>
      <c r="X64" s="317"/>
      <c r="Y64" s="317"/>
      <c r="Z64" s="317"/>
      <c r="AA64" s="317"/>
      <c r="AB64" s="317"/>
      <c r="AC64" s="317"/>
      <c r="AD64" s="317"/>
      <c r="AE64" s="317"/>
      <c r="AF64" s="317"/>
      <c r="AG64" s="317"/>
      <c r="AH64" s="530"/>
      <c r="AI64"/>
    </row>
    <row r="65" spans="1:35" s="1" customFormat="1" ht="12.75">
      <c r="A65" s="419"/>
      <c r="B65" s="419"/>
      <c r="C65" s="419"/>
      <c r="D65" s="419"/>
      <c r="E65" s="421"/>
      <c r="F65" s="441"/>
      <c r="G65" s="421"/>
      <c r="I65" s="407"/>
      <c r="J65" s="419"/>
      <c r="K65" s="421"/>
      <c r="L65" s="441"/>
      <c r="M65" s="421"/>
      <c r="O65" s="407"/>
      <c r="P65" s="419"/>
      <c r="Q65" s="442"/>
      <c r="R65" s="441"/>
      <c r="S65" s="421"/>
      <c r="T65" s="419"/>
      <c r="W65" s="534"/>
      <c r="X65" s="317"/>
      <c r="Y65" s="317"/>
      <c r="Z65" s="317"/>
      <c r="AA65" s="317"/>
      <c r="AB65" s="317"/>
      <c r="AC65" s="317"/>
      <c r="AD65" s="317"/>
      <c r="AE65" s="317"/>
      <c r="AF65" s="317"/>
      <c r="AG65" s="317"/>
      <c r="AH65" s="530"/>
      <c r="AI65"/>
    </row>
    <row r="66" spans="23:34" ht="12.75">
      <c r="W66" s="534"/>
      <c r="X66" s="317"/>
      <c r="Y66" s="317"/>
      <c r="Z66" s="317"/>
      <c r="AA66" s="317"/>
      <c r="AB66" s="317"/>
      <c r="AC66" s="317"/>
      <c r="AD66" s="317"/>
      <c r="AE66" s="317"/>
      <c r="AF66" s="317"/>
      <c r="AG66" s="317"/>
      <c r="AH66" s="530"/>
    </row>
    <row r="67" spans="1:34" ht="19.5" customHeight="1" thickBot="1">
      <c r="A67" s="309"/>
      <c r="B67" s="309"/>
      <c r="C67" s="309"/>
      <c r="D67" s="309"/>
      <c r="E67" s="309"/>
      <c r="F67" s="309"/>
      <c r="G67" s="309"/>
      <c r="H67" s="309"/>
      <c r="I67" s="309"/>
      <c r="J67" s="309"/>
      <c r="K67" s="309"/>
      <c r="L67" s="309"/>
      <c r="M67" s="309"/>
      <c r="N67" s="309"/>
      <c r="O67" s="309"/>
      <c r="P67" s="309"/>
      <c r="Q67" s="309"/>
      <c r="R67" s="309"/>
      <c r="S67" s="309"/>
      <c r="T67" s="309"/>
      <c r="W67" s="534"/>
      <c r="X67" s="317"/>
      <c r="Y67" s="317"/>
      <c r="Z67" s="317"/>
      <c r="AA67" s="317"/>
      <c r="AB67" s="317"/>
      <c r="AC67" s="317"/>
      <c r="AD67" s="317"/>
      <c r="AE67" s="317"/>
      <c r="AF67" s="317"/>
      <c r="AG67" s="317"/>
      <c r="AH67" s="530"/>
    </row>
    <row r="68" spans="1:34" ht="33" customHeight="1" thickBot="1" thickTop="1">
      <c r="A68" s="309"/>
      <c r="B68" s="309"/>
      <c r="C68" s="1082" t="s">
        <v>491</v>
      </c>
      <c r="D68" s="1083"/>
      <c r="E68" s="1083"/>
      <c r="F68" s="1084"/>
      <c r="G68" s="309"/>
      <c r="H68" s="309"/>
      <c r="I68" s="309"/>
      <c r="J68" s="309"/>
      <c r="K68" s="309"/>
      <c r="L68" s="309"/>
      <c r="M68" s="309"/>
      <c r="N68" s="309"/>
      <c r="O68" s="309"/>
      <c r="P68" s="309"/>
      <c r="Q68" s="309"/>
      <c r="R68" s="309"/>
      <c r="S68" s="309"/>
      <c r="T68" s="309"/>
      <c r="W68" s="534"/>
      <c r="X68" s="317"/>
      <c r="Y68" s="317"/>
      <c r="Z68" s="317"/>
      <c r="AA68" s="317"/>
      <c r="AB68" s="317"/>
      <c r="AC68" s="317"/>
      <c r="AD68" s="317"/>
      <c r="AE68" s="317"/>
      <c r="AF68" s="317"/>
      <c r="AG68" s="317"/>
      <c r="AH68" s="530"/>
    </row>
    <row r="69" spans="1:34" ht="18" customHeight="1" thickTop="1">
      <c r="A69" s="309"/>
      <c r="B69" s="309"/>
      <c r="C69" s="309"/>
      <c r="D69" s="309"/>
      <c r="E69" s="309"/>
      <c r="F69" s="309"/>
      <c r="G69" s="309"/>
      <c r="H69" s="309"/>
      <c r="I69" s="309"/>
      <c r="J69" s="309"/>
      <c r="K69" s="309"/>
      <c r="L69" s="309"/>
      <c r="M69" s="309"/>
      <c r="N69" s="309"/>
      <c r="O69" s="309"/>
      <c r="P69" s="309"/>
      <c r="Q69" s="309"/>
      <c r="R69" s="309"/>
      <c r="S69" s="309"/>
      <c r="T69" s="309"/>
      <c r="W69" s="534"/>
      <c r="X69" s="317"/>
      <c r="Y69" s="317"/>
      <c r="Z69" s="317"/>
      <c r="AA69" s="317"/>
      <c r="AB69" s="317"/>
      <c r="AC69" s="317"/>
      <c r="AD69" s="317"/>
      <c r="AE69" s="317"/>
      <c r="AF69" s="317"/>
      <c r="AG69" s="317"/>
      <c r="AH69" s="530"/>
    </row>
    <row r="70" spans="9:34" ht="13.5" thickBot="1">
      <c r="I70" s="425"/>
      <c r="O70" s="425"/>
      <c r="W70" s="534"/>
      <c r="X70" s="317"/>
      <c r="Y70" s="317"/>
      <c r="Z70" s="317"/>
      <c r="AA70" s="317"/>
      <c r="AB70" s="317"/>
      <c r="AC70" s="317"/>
      <c r="AD70" s="317"/>
      <c r="AE70" s="317"/>
      <c r="AF70" s="317"/>
      <c r="AG70" s="317"/>
      <c r="AH70" s="530"/>
    </row>
    <row r="71" spans="1:40" ht="22.5" customHeight="1">
      <c r="A71" s="419"/>
      <c r="B71" s="496"/>
      <c r="C71" s="464"/>
      <c r="D71" s="497" t="s">
        <v>296</v>
      </c>
      <c r="E71" s="446"/>
      <c r="F71" s="498">
        <f>(F72/1000)*F73*F74*12</f>
        <v>14826.24</v>
      </c>
      <c r="G71" s="499" t="s">
        <v>297</v>
      </c>
      <c r="H71" s="148"/>
      <c r="I71" s="425"/>
      <c r="J71" s="445" t="s">
        <v>296</v>
      </c>
      <c r="K71" s="446"/>
      <c r="L71" s="410">
        <f>(L72/1000)*L73*L74*12</f>
        <v>3294.7200000000003</v>
      </c>
      <c r="M71" s="411" t="s">
        <v>297</v>
      </c>
      <c r="O71" s="425"/>
      <c r="P71" s="445" t="s">
        <v>296</v>
      </c>
      <c r="Q71" s="446"/>
      <c r="R71" s="410">
        <f>(R72/1000)*R73*R74*12</f>
        <v>1198.08</v>
      </c>
      <c r="S71" s="411" t="s">
        <v>297</v>
      </c>
      <c r="T71" s="500"/>
      <c r="W71" s="534"/>
      <c r="X71" s="317"/>
      <c r="Y71" s="317"/>
      <c r="Z71" s="317"/>
      <c r="AA71" s="317"/>
      <c r="AB71" s="317"/>
      <c r="AC71" s="317"/>
      <c r="AD71" s="317"/>
      <c r="AE71" s="317"/>
      <c r="AF71" s="317"/>
      <c r="AG71" s="317"/>
      <c r="AH71" s="530"/>
      <c r="AJ71" s="157"/>
      <c r="AK71" s="157"/>
      <c r="AL71" s="157"/>
      <c r="AM71" s="157"/>
      <c r="AN71" s="157"/>
    </row>
    <row r="72" spans="1:34" ht="15.75" customHeight="1">
      <c r="A72" s="419"/>
      <c r="B72" s="464"/>
      <c r="C72" s="464"/>
      <c r="D72" s="501" t="s">
        <v>298</v>
      </c>
      <c r="E72" s="22"/>
      <c r="F72" s="502">
        <f>4.5*440</f>
        <v>1980</v>
      </c>
      <c r="G72" s="503" t="s">
        <v>211</v>
      </c>
      <c r="H72" s="148"/>
      <c r="I72" s="425"/>
      <c r="J72" s="449" t="s">
        <v>298</v>
      </c>
      <c r="K72" s="22"/>
      <c r="L72" s="129">
        <v>440</v>
      </c>
      <c r="M72" s="415" t="s">
        <v>211</v>
      </c>
      <c r="O72" s="425"/>
      <c r="P72" s="449" t="s">
        <v>298</v>
      </c>
      <c r="Q72" s="22"/>
      <c r="R72" s="129">
        <v>160</v>
      </c>
      <c r="S72" s="415" t="s">
        <v>211</v>
      </c>
      <c r="T72" s="500"/>
      <c r="W72" s="534"/>
      <c r="X72" s="317"/>
      <c r="Y72" s="317"/>
      <c r="Z72" s="317"/>
      <c r="AA72" s="317"/>
      <c r="AB72" s="317"/>
      <c r="AC72" s="317"/>
      <c r="AD72" s="317"/>
      <c r="AE72" s="317"/>
      <c r="AF72" s="317"/>
      <c r="AG72" s="317"/>
      <c r="AH72" s="530"/>
    </row>
    <row r="73" spans="1:34" ht="17.25" customHeight="1">
      <c r="A73" s="419"/>
      <c r="B73" s="464"/>
      <c r="C73" s="464"/>
      <c r="D73" s="501" t="s">
        <v>299</v>
      </c>
      <c r="E73" s="22"/>
      <c r="F73" s="464">
        <v>26</v>
      </c>
      <c r="G73" s="503"/>
      <c r="H73" s="148"/>
      <c r="I73" s="425"/>
      <c r="J73" s="449" t="s">
        <v>299</v>
      </c>
      <c r="K73" s="22"/>
      <c r="L73" s="164">
        <v>26</v>
      </c>
      <c r="M73" s="415"/>
      <c r="O73" s="425"/>
      <c r="P73" s="449" t="s">
        <v>299</v>
      </c>
      <c r="Q73" s="22"/>
      <c r="R73" s="164">
        <v>26</v>
      </c>
      <c r="S73" s="415"/>
      <c r="T73" s="500"/>
      <c r="W73" s="534"/>
      <c r="X73" s="317"/>
      <c r="Y73" s="317"/>
      <c r="Z73" s="317"/>
      <c r="AA73" s="317"/>
      <c r="AB73" s="317"/>
      <c r="AC73" s="317"/>
      <c r="AD73" s="317"/>
      <c r="AE73" s="317"/>
      <c r="AF73" s="317"/>
      <c r="AG73" s="317"/>
      <c r="AH73" s="530"/>
    </row>
    <row r="74" spans="1:34" ht="16.5" customHeight="1" thickBot="1">
      <c r="A74" s="419"/>
      <c r="B74" s="464"/>
      <c r="C74" s="464"/>
      <c r="D74" s="504" t="s">
        <v>375</v>
      </c>
      <c r="E74" s="450"/>
      <c r="F74" s="505">
        <v>24</v>
      </c>
      <c r="G74" s="506"/>
      <c r="H74" s="148"/>
      <c r="I74" s="425"/>
      <c r="J74" s="507" t="s">
        <v>375</v>
      </c>
      <c r="K74" s="450"/>
      <c r="L74" s="417">
        <v>24</v>
      </c>
      <c r="M74" s="418"/>
      <c r="O74" s="425"/>
      <c r="P74" s="507" t="s">
        <v>375</v>
      </c>
      <c r="Q74" s="450"/>
      <c r="R74" s="417">
        <v>24</v>
      </c>
      <c r="S74" s="418"/>
      <c r="T74" s="500"/>
      <c r="W74" s="534"/>
      <c r="X74" s="317"/>
      <c r="Y74" s="317"/>
      <c r="Z74" s="317"/>
      <c r="AA74" s="317"/>
      <c r="AB74" s="317"/>
      <c r="AC74" s="317"/>
      <c r="AD74" s="317"/>
      <c r="AE74" s="317"/>
      <c r="AF74" s="317"/>
      <c r="AG74" s="317"/>
      <c r="AH74" s="530"/>
    </row>
    <row r="75" spans="1:34" ht="12.75">
      <c r="A75" s="419"/>
      <c r="B75" s="419"/>
      <c r="C75" s="419"/>
      <c r="D75" s="419"/>
      <c r="E75" s="419"/>
      <c r="F75" s="419"/>
      <c r="G75" s="419"/>
      <c r="H75" s="148"/>
      <c r="I75" s="425"/>
      <c r="J75" s="1"/>
      <c r="K75" s="1"/>
      <c r="L75" s="1"/>
      <c r="M75" s="1"/>
      <c r="O75" s="425"/>
      <c r="P75" s="1"/>
      <c r="Q75" s="1"/>
      <c r="R75" s="1"/>
      <c r="S75" s="1"/>
      <c r="T75" s="500"/>
      <c r="W75" s="534"/>
      <c r="X75" s="317"/>
      <c r="Y75" s="317"/>
      <c r="Z75" s="317"/>
      <c r="AA75" s="317"/>
      <c r="AB75" s="317"/>
      <c r="AC75" s="317"/>
      <c r="AD75" s="317"/>
      <c r="AE75" s="317"/>
      <c r="AF75" s="317"/>
      <c r="AG75" s="317"/>
      <c r="AH75" s="530"/>
    </row>
    <row r="76" spans="1:34" ht="18">
      <c r="A76" s="420"/>
      <c r="B76" s="429" t="s">
        <v>301</v>
      </c>
      <c r="C76" s="419"/>
      <c r="D76" s="419"/>
      <c r="E76" s="421"/>
      <c r="F76" s="421" t="s">
        <v>302</v>
      </c>
      <c r="G76" s="421"/>
      <c r="H76" s="148"/>
      <c r="I76" s="425"/>
      <c r="J76" s="1"/>
      <c r="K76" s="469"/>
      <c r="L76" s="469" t="s">
        <v>302</v>
      </c>
      <c r="M76" s="469"/>
      <c r="O76" s="425"/>
      <c r="P76" s="1"/>
      <c r="Q76" s="469"/>
      <c r="R76" s="469" t="s">
        <v>302</v>
      </c>
      <c r="S76" s="469"/>
      <c r="T76" s="500"/>
      <c r="W76" s="534"/>
      <c r="X76" s="317"/>
      <c r="Y76" s="317"/>
      <c r="Z76" s="317"/>
      <c r="AA76" s="317"/>
      <c r="AB76" s="317"/>
      <c r="AC76" s="317"/>
      <c r="AD76" s="317"/>
      <c r="AE76" s="317"/>
      <c r="AF76" s="317"/>
      <c r="AG76" s="317"/>
      <c r="AH76" s="530"/>
    </row>
    <row r="77" spans="1:34" ht="12.75">
      <c r="A77" s="148"/>
      <c r="B77" s="148"/>
      <c r="C77" s="148"/>
      <c r="D77" s="148"/>
      <c r="E77" s="424"/>
      <c r="F77" s="424"/>
      <c r="G77" s="424"/>
      <c r="H77" s="148"/>
      <c r="I77" s="425"/>
      <c r="K77" s="235"/>
      <c r="L77" s="235"/>
      <c r="M77" s="235"/>
      <c r="O77" s="425"/>
      <c r="P77" s="500"/>
      <c r="Q77" s="495"/>
      <c r="R77" s="495"/>
      <c r="S77" s="495"/>
      <c r="T77" s="500"/>
      <c r="W77" s="534"/>
      <c r="X77" s="317"/>
      <c r="Y77" s="317"/>
      <c r="Z77" s="317"/>
      <c r="AA77" s="317"/>
      <c r="AB77" s="317"/>
      <c r="AC77" s="317"/>
      <c r="AD77" s="317"/>
      <c r="AE77" s="317"/>
      <c r="AF77" s="317"/>
      <c r="AG77" s="317"/>
      <c r="AH77" s="530"/>
    </row>
    <row r="78" spans="1:34" ht="12.75">
      <c r="A78" s="148">
        <v>1</v>
      </c>
      <c r="B78" s="148" t="s">
        <v>303</v>
      </c>
      <c r="C78" s="148" t="s">
        <v>304</v>
      </c>
      <c r="D78" s="150">
        <v>7000</v>
      </c>
      <c r="E78" s="424" t="s">
        <v>305</v>
      </c>
      <c r="F78" s="426">
        <f>D78*200</f>
        <v>1400000</v>
      </c>
      <c r="G78" s="424"/>
      <c r="H78" s="148"/>
      <c r="I78" s="425"/>
      <c r="J78" s="9">
        <v>3000</v>
      </c>
      <c r="K78" s="235" t="s">
        <v>305</v>
      </c>
      <c r="L78" s="508">
        <f>J78*200</f>
        <v>600000</v>
      </c>
      <c r="M78" s="235"/>
      <c r="O78" s="425"/>
      <c r="P78" s="509">
        <v>2000</v>
      </c>
      <c r="Q78" s="495" t="s">
        <v>305</v>
      </c>
      <c r="R78" s="510">
        <f>P78*200</f>
        <v>400000</v>
      </c>
      <c r="S78" s="495"/>
      <c r="T78" s="500"/>
      <c r="W78" s="534"/>
      <c r="X78" s="317"/>
      <c r="Y78" s="317"/>
      <c r="Z78" s="317"/>
      <c r="AA78" s="317"/>
      <c r="AB78" s="317"/>
      <c r="AC78" s="317"/>
      <c r="AD78" s="317"/>
      <c r="AE78" s="317"/>
      <c r="AF78" s="317"/>
      <c r="AG78" s="317"/>
      <c r="AH78" s="530"/>
    </row>
    <row r="79" spans="1:34" ht="12.75">
      <c r="A79" s="148"/>
      <c r="B79" s="148"/>
      <c r="C79" s="148"/>
      <c r="D79" s="150"/>
      <c r="E79" s="424"/>
      <c r="F79" s="426"/>
      <c r="G79" s="424"/>
      <c r="H79" s="148"/>
      <c r="I79" s="425"/>
      <c r="J79" s="9"/>
      <c r="K79" s="235"/>
      <c r="L79" s="508"/>
      <c r="M79" s="235"/>
      <c r="O79" s="425"/>
      <c r="P79" s="509"/>
      <c r="Q79" s="495"/>
      <c r="R79" s="510"/>
      <c r="S79" s="495"/>
      <c r="T79" s="500"/>
      <c r="W79" s="534"/>
      <c r="X79" s="317"/>
      <c r="Y79" s="317"/>
      <c r="Z79" s="317"/>
      <c r="AA79" s="317"/>
      <c r="AB79" s="317"/>
      <c r="AC79" s="317"/>
      <c r="AD79" s="317"/>
      <c r="AE79" s="317"/>
      <c r="AF79" s="317"/>
      <c r="AG79" s="317"/>
      <c r="AH79" s="530"/>
    </row>
    <row r="80" spans="1:34" ht="12.75">
      <c r="A80" s="148"/>
      <c r="B80" s="148"/>
      <c r="C80" s="148"/>
      <c r="D80" s="150"/>
      <c r="E80" s="424"/>
      <c r="F80" s="424"/>
      <c r="G80" s="424"/>
      <c r="H80" s="148"/>
      <c r="I80" s="425"/>
      <c r="J80" s="9"/>
      <c r="K80" s="235"/>
      <c r="L80" s="235"/>
      <c r="M80" s="235"/>
      <c r="O80" s="425"/>
      <c r="P80" s="509"/>
      <c r="Q80" s="495"/>
      <c r="R80" s="495"/>
      <c r="S80" s="495"/>
      <c r="T80" s="500"/>
      <c r="W80" s="534"/>
      <c r="X80" s="317"/>
      <c r="Y80" s="402"/>
      <c r="Z80" s="402"/>
      <c r="AA80" s="317"/>
      <c r="AB80" s="317"/>
      <c r="AC80" s="535"/>
      <c r="AD80" s="317"/>
      <c r="AE80" s="317"/>
      <c r="AF80" s="317"/>
      <c r="AG80" s="317"/>
      <c r="AH80" s="530"/>
    </row>
    <row r="81" spans="1:34" ht="18">
      <c r="A81" s="148">
        <v>2</v>
      </c>
      <c r="B81" s="148" t="s">
        <v>306</v>
      </c>
      <c r="C81" s="148"/>
      <c r="D81" s="150"/>
      <c r="E81" s="426"/>
      <c r="F81" s="426"/>
      <c r="G81" s="424"/>
      <c r="H81" s="148"/>
      <c r="I81" s="425"/>
      <c r="J81" s="9"/>
      <c r="K81" s="508"/>
      <c r="L81" s="508"/>
      <c r="M81" s="235"/>
      <c r="O81" s="425"/>
      <c r="P81" s="509"/>
      <c r="Q81" s="510"/>
      <c r="R81" s="510"/>
      <c r="S81" s="495"/>
      <c r="T81" s="500"/>
      <c r="W81" s="1074" t="s">
        <v>496</v>
      </c>
      <c r="X81" s="1075"/>
      <c r="Y81" s="1075"/>
      <c r="Z81" s="1075"/>
      <c r="AA81" s="1075"/>
      <c r="AB81" s="317"/>
      <c r="AC81" s="317"/>
      <c r="AD81" s="317"/>
      <c r="AE81" s="317"/>
      <c r="AF81" s="317"/>
      <c r="AG81" s="317"/>
      <c r="AH81" s="530"/>
    </row>
    <row r="82" spans="1:34" ht="12.75">
      <c r="A82" s="148"/>
      <c r="B82" s="148"/>
      <c r="C82" s="148" t="s">
        <v>307</v>
      </c>
      <c r="D82" s="150">
        <v>3000</v>
      </c>
      <c r="E82" s="426" t="s">
        <v>308</v>
      </c>
      <c r="F82" s="426">
        <f>D82*120</f>
        <v>360000</v>
      </c>
      <c r="G82" s="424"/>
      <c r="H82" s="148"/>
      <c r="I82" s="425"/>
      <c r="J82" s="9">
        <v>1500</v>
      </c>
      <c r="K82" s="508" t="s">
        <v>308</v>
      </c>
      <c r="L82" s="508">
        <f>J82*120</f>
        <v>180000</v>
      </c>
      <c r="M82" s="235"/>
      <c r="O82" s="425"/>
      <c r="P82" s="509">
        <v>1000</v>
      </c>
      <c r="Q82" s="510" t="s">
        <v>308</v>
      </c>
      <c r="R82" s="510">
        <f>P82*120</f>
        <v>120000</v>
      </c>
      <c r="S82" s="495"/>
      <c r="T82" s="500"/>
      <c r="W82" s="534"/>
      <c r="X82" s="317"/>
      <c r="Y82" s="317"/>
      <c r="Z82" s="317"/>
      <c r="AA82" s="317"/>
      <c r="AB82" s="317"/>
      <c r="AC82" s="317"/>
      <c r="AD82" s="317"/>
      <c r="AE82" s="317"/>
      <c r="AF82" s="317"/>
      <c r="AG82" s="317"/>
      <c r="AH82" s="530"/>
    </row>
    <row r="83" spans="1:34" ht="12.75">
      <c r="A83" s="148"/>
      <c r="B83" s="148"/>
      <c r="C83" s="148" t="s">
        <v>309</v>
      </c>
      <c r="D83" s="150">
        <v>350</v>
      </c>
      <c r="E83" s="426">
        <v>2800</v>
      </c>
      <c r="F83" s="426">
        <f>+D83*E83</f>
        <v>980000</v>
      </c>
      <c r="G83" s="424"/>
      <c r="H83" s="148"/>
      <c r="I83" s="425"/>
      <c r="J83" s="9">
        <v>250</v>
      </c>
      <c r="K83" s="426">
        <v>2800</v>
      </c>
      <c r="L83" s="426">
        <f>+J83*K83</f>
        <v>700000</v>
      </c>
      <c r="M83" s="235"/>
      <c r="O83" s="425"/>
      <c r="P83" s="509">
        <v>250</v>
      </c>
      <c r="Q83" s="510">
        <v>2800</v>
      </c>
      <c r="R83" s="510">
        <f>+P83*Q83</f>
        <v>700000</v>
      </c>
      <c r="S83" s="495"/>
      <c r="T83" s="500"/>
      <c r="W83" s="644" t="s">
        <v>383</v>
      </c>
      <c r="X83" s="645">
        <v>374</v>
      </c>
      <c r="Y83" s="645">
        <v>750</v>
      </c>
      <c r="Z83" s="645">
        <v>1200</v>
      </c>
      <c r="AA83" s="645">
        <v>1870</v>
      </c>
      <c r="AB83" s="645">
        <v>3120</v>
      </c>
      <c r="AC83" s="645">
        <v>3295</v>
      </c>
      <c r="AD83" s="645">
        <v>6240</v>
      </c>
      <c r="AE83" s="645">
        <v>7490</v>
      </c>
      <c r="AF83" s="645">
        <v>14980</v>
      </c>
      <c r="AG83" s="645">
        <v>22500</v>
      </c>
      <c r="AH83" s="647">
        <v>30000</v>
      </c>
    </row>
    <row r="84" spans="1:34" ht="12.75">
      <c r="A84" s="148"/>
      <c r="B84" s="148"/>
      <c r="C84" s="148" t="s">
        <v>310</v>
      </c>
      <c r="D84" s="150"/>
      <c r="E84" s="426"/>
      <c r="F84" s="426">
        <f>2*220000</f>
        <v>440000</v>
      </c>
      <c r="G84" s="424"/>
      <c r="H84" s="148"/>
      <c r="I84" s="425"/>
      <c r="J84" s="9"/>
      <c r="K84" s="508"/>
      <c r="L84" s="508">
        <v>220000</v>
      </c>
      <c r="M84" s="235"/>
      <c r="O84" s="425"/>
      <c r="P84" s="509"/>
      <c r="Q84" s="510"/>
      <c r="R84" s="510">
        <v>220000</v>
      </c>
      <c r="S84" s="495"/>
      <c r="T84" s="500"/>
      <c r="W84" s="644" t="s">
        <v>157</v>
      </c>
      <c r="X84" s="621"/>
      <c r="Y84" s="621"/>
      <c r="Z84" s="621">
        <f>+Z48*1000000/Z$83</f>
        <v>6166.666666666667</v>
      </c>
      <c r="AA84" s="621"/>
      <c r="AB84" s="621"/>
      <c r="AC84" s="621">
        <f>+AC48*1000000/AC$83</f>
        <v>2871.0166919575113</v>
      </c>
      <c r="AD84" s="621"/>
      <c r="AE84" s="621"/>
      <c r="AF84" s="621">
        <f>+AF48*1000000/AF$83</f>
        <v>2347.1295060080106</v>
      </c>
      <c r="AG84" s="649"/>
      <c r="AH84" s="651"/>
    </row>
    <row r="85" spans="1:34" ht="12.75">
      <c r="A85" s="148"/>
      <c r="B85" s="148"/>
      <c r="C85" s="148" t="s">
        <v>311</v>
      </c>
      <c r="D85" s="150"/>
      <c r="E85" s="426"/>
      <c r="F85" s="426">
        <v>82000</v>
      </c>
      <c r="G85" s="424"/>
      <c r="H85" s="148"/>
      <c r="I85" s="425"/>
      <c r="J85" s="9"/>
      <c r="K85" s="508"/>
      <c r="L85" s="508">
        <v>82000</v>
      </c>
      <c r="M85" s="235"/>
      <c r="O85" s="425"/>
      <c r="P85" s="509"/>
      <c r="Q85" s="510"/>
      <c r="R85" s="510">
        <v>82000</v>
      </c>
      <c r="S85" s="495"/>
      <c r="T85" s="500"/>
      <c r="W85" s="644" t="s">
        <v>156</v>
      </c>
      <c r="X85" s="621"/>
      <c r="Y85" s="621">
        <f>+Y49*1000000/Y$83</f>
        <v>7213.333333333333</v>
      </c>
      <c r="Z85" s="621"/>
      <c r="AA85" s="621">
        <f>+AA49*1000000/AA$83</f>
        <v>3454.5454545454545</v>
      </c>
      <c r="AB85" s="621"/>
      <c r="AC85" s="621"/>
      <c r="AD85" s="621"/>
      <c r="AE85" s="621">
        <f>+AE49*1000000/AE$83</f>
        <v>1528.7049399198931</v>
      </c>
      <c r="AF85" s="621">
        <f>+AF49*1000000/AF$83</f>
        <v>929.9065420560747</v>
      </c>
      <c r="AG85" s="648"/>
      <c r="AH85" s="651"/>
    </row>
    <row r="86" spans="1:34" ht="12.75">
      <c r="A86" s="148"/>
      <c r="B86" s="148"/>
      <c r="C86" s="148"/>
      <c r="D86" s="150"/>
      <c r="E86" s="424"/>
      <c r="F86" s="424"/>
      <c r="G86" s="424"/>
      <c r="H86" s="148"/>
      <c r="I86" s="425"/>
      <c r="J86" s="9"/>
      <c r="K86" s="235"/>
      <c r="L86" s="235"/>
      <c r="M86" s="235"/>
      <c r="O86" s="425"/>
      <c r="P86" s="509"/>
      <c r="Q86" s="495"/>
      <c r="R86" s="495"/>
      <c r="S86" s="495"/>
      <c r="T86" s="500"/>
      <c r="W86" s="644" t="s">
        <v>163</v>
      </c>
      <c r="X86" s="621">
        <f>+X50*1000000/X$83</f>
        <v>11069.518716577539</v>
      </c>
      <c r="Y86" s="621"/>
      <c r="Z86" s="621"/>
      <c r="AA86" s="621"/>
      <c r="AB86" s="621">
        <f>+AB50*1000000/AB$83</f>
        <v>2086.5384615384614</v>
      </c>
      <c r="AC86" s="621"/>
      <c r="AD86" s="621">
        <f>+AD50*1000000/AD$83</f>
        <v>1240.3846153846155</v>
      </c>
      <c r="AE86" s="621"/>
      <c r="AF86" s="621"/>
      <c r="AG86" s="649"/>
      <c r="AH86" s="650"/>
    </row>
    <row r="87" spans="1:34" ht="12.75">
      <c r="A87" s="148">
        <v>3</v>
      </c>
      <c r="B87" s="148" t="s">
        <v>312</v>
      </c>
      <c r="C87" s="148"/>
      <c r="D87" s="150"/>
      <c r="E87" s="424"/>
      <c r="F87" s="426">
        <f>4.5*6875000</f>
        <v>30937500</v>
      </c>
      <c r="G87" s="424"/>
      <c r="H87" s="148"/>
      <c r="I87" s="425"/>
      <c r="J87" s="9"/>
      <c r="K87" s="235"/>
      <c r="L87" s="508">
        <v>6875000</v>
      </c>
      <c r="M87" s="235"/>
      <c r="O87" s="425"/>
      <c r="P87" s="509"/>
      <c r="Q87" s="495"/>
      <c r="R87" s="510">
        <v>5156250</v>
      </c>
      <c r="S87" s="495"/>
      <c r="T87" s="500"/>
      <c r="W87" s="534"/>
      <c r="X87" s="317"/>
      <c r="Y87" s="317"/>
      <c r="Z87" s="317"/>
      <c r="AA87" s="317"/>
      <c r="AB87" s="317"/>
      <c r="AC87" s="317"/>
      <c r="AD87" s="317"/>
      <c r="AE87" s="317"/>
      <c r="AF87" s="317"/>
      <c r="AG87" s="317"/>
      <c r="AH87" s="530"/>
    </row>
    <row r="88" spans="1:34" ht="12.75">
      <c r="A88" s="148"/>
      <c r="B88" s="148"/>
      <c r="C88" s="148"/>
      <c r="D88" s="150"/>
      <c r="E88" s="424"/>
      <c r="F88" s="424"/>
      <c r="G88" s="424"/>
      <c r="H88" s="148"/>
      <c r="I88" s="425"/>
      <c r="J88" s="9"/>
      <c r="K88" s="235"/>
      <c r="L88" s="235"/>
      <c r="M88" s="235"/>
      <c r="O88" s="425"/>
      <c r="P88" s="509"/>
      <c r="Q88" s="495"/>
      <c r="R88" s="495"/>
      <c r="S88" s="495"/>
      <c r="T88" s="500"/>
      <c r="W88" s="534"/>
      <c r="X88" s="317"/>
      <c r="Y88" s="317"/>
      <c r="Z88" s="317"/>
      <c r="AA88" s="317"/>
      <c r="AB88" s="317"/>
      <c r="AC88" s="317"/>
      <c r="AD88" s="317"/>
      <c r="AE88" s="317"/>
      <c r="AF88" s="317"/>
      <c r="AG88" s="317"/>
      <c r="AH88" s="530"/>
    </row>
    <row r="89" spans="1:34" ht="12.75">
      <c r="A89" s="148">
        <v>4</v>
      </c>
      <c r="B89" s="148" t="s">
        <v>356</v>
      </c>
      <c r="C89" s="148"/>
      <c r="D89" s="148"/>
      <c r="E89" s="424"/>
      <c r="F89" s="426">
        <v>60000</v>
      </c>
      <c r="G89" s="424"/>
      <c r="H89" s="148"/>
      <c r="I89" s="425"/>
      <c r="K89" s="235"/>
      <c r="L89" s="508">
        <v>60000</v>
      </c>
      <c r="M89" s="235"/>
      <c r="O89" s="425"/>
      <c r="P89" s="500"/>
      <c r="Q89" s="495"/>
      <c r="R89" s="510">
        <v>60000</v>
      </c>
      <c r="S89" s="495"/>
      <c r="T89" s="500"/>
      <c r="W89" s="534"/>
      <c r="X89" s="317"/>
      <c r="Y89" s="317"/>
      <c r="Z89" s="317"/>
      <c r="AA89" s="317"/>
      <c r="AB89" s="317"/>
      <c r="AC89" s="317"/>
      <c r="AD89" s="317"/>
      <c r="AE89" s="317"/>
      <c r="AF89" s="317"/>
      <c r="AG89" s="317"/>
      <c r="AH89" s="530"/>
    </row>
    <row r="90" spans="1:34" ht="12.75">
      <c r="A90" s="148"/>
      <c r="B90" s="148"/>
      <c r="C90" s="148"/>
      <c r="D90" s="148"/>
      <c r="E90" s="424"/>
      <c r="F90" s="424"/>
      <c r="G90" s="424"/>
      <c r="H90" s="148"/>
      <c r="I90" s="425"/>
      <c r="K90" s="235"/>
      <c r="L90" s="235"/>
      <c r="M90" s="235"/>
      <c r="O90" s="425"/>
      <c r="P90" s="500"/>
      <c r="Q90" s="495"/>
      <c r="R90" s="495"/>
      <c r="S90" s="495"/>
      <c r="T90" s="500"/>
      <c r="W90" s="534"/>
      <c r="X90" s="317"/>
      <c r="Y90" s="317"/>
      <c r="Z90" s="317"/>
      <c r="AA90" s="317"/>
      <c r="AB90" s="317"/>
      <c r="AC90" s="317"/>
      <c r="AD90" s="317"/>
      <c r="AE90" s="317"/>
      <c r="AF90" s="317"/>
      <c r="AG90" s="317"/>
      <c r="AH90" s="530"/>
    </row>
    <row r="91" spans="1:34" ht="12.75">
      <c r="A91" s="148">
        <v>4</v>
      </c>
      <c r="B91" s="148" t="s">
        <v>357</v>
      </c>
      <c r="C91" s="148"/>
      <c r="D91" s="148"/>
      <c r="E91" s="424"/>
      <c r="F91" s="426">
        <v>400000</v>
      </c>
      <c r="G91" s="424"/>
      <c r="H91" s="148"/>
      <c r="I91" s="425"/>
      <c r="K91" s="235"/>
      <c r="L91" s="508">
        <v>400000</v>
      </c>
      <c r="M91" s="235"/>
      <c r="O91" s="425"/>
      <c r="P91" s="500"/>
      <c r="Q91" s="495"/>
      <c r="R91" s="510">
        <v>400000</v>
      </c>
      <c r="S91" s="495"/>
      <c r="T91" s="500"/>
      <c r="W91" s="534"/>
      <c r="X91" s="317"/>
      <c r="Y91" s="317"/>
      <c r="Z91" s="317"/>
      <c r="AA91" s="317"/>
      <c r="AB91" s="317"/>
      <c r="AC91" s="317"/>
      <c r="AD91" s="317"/>
      <c r="AE91" s="317"/>
      <c r="AF91" s="317"/>
      <c r="AG91" s="317"/>
      <c r="AH91" s="530"/>
    </row>
    <row r="92" spans="1:34" ht="12.75">
      <c r="A92" s="148"/>
      <c r="B92" s="148"/>
      <c r="C92" s="148"/>
      <c r="D92" s="148"/>
      <c r="E92" s="424"/>
      <c r="F92" s="424"/>
      <c r="G92" s="424"/>
      <c r="H92" s="148"/>
      <c r="I92" s="425"/>
      <c r="K92" s="235"/>
      <c r="L92" s="235"/>
      <c r="M92" s="235"/>
      <c r="O92" s="425"/>
      <c r="P92" s="500"/>
      <c r="Q92" s="495"/>
      <c r="R92" s="495"/>
      <c r="S92" s="495"/>
      <c r="T92" s="500"/>
      <c r="W92" s="534"/>
      <c r="X92" s="317"/>
      <c r="Y92" s="317"/>
      <c r="Z92" s="317"/>
      <c r="AA92" s="317"/>
      <c r="AB92" s="317"/>
      <c r="AC92" s="317"/>
      <c r="AD92" s="317"/>
      <c r="AE92" s="317"/>
      <c r="AF92" s="317"/>
      <c r="AG92" s="317"/>
      <c r="AH92" s="530"/>
    </row>
    <row r="93" spans="1:34" ht="12.75">
      <c r="A93" s="148">
        <v>5</v>
      </c>
      <c r="B93" s="148" t="s">
        <v>317</v>
      </c>
      <c r="C93" s="148"/>
      <c r="D93" s="148"/>
      <c r="E93" s="495"/>
      <c r="F93" s="510">
        <v>500000</v>
      </c>
      <c r="G93" s="424"/>
      <c r="H93" s="148"/>
      <c r="I93" s="425"/>
      <c r="K93" s="495"/>
      <c r="L93" s="510">
        <f>L87*5%</f>
        <v>343750</v>
      </c>
      <c r="M93" s="235"/>
      <c r="O93" s="425"/>
      <c r="P93" s="500"/>
      <c r="Q93" s="495"/>
      <c r="R93" s="510">
        <f>R87*5%</f>
        <v>257812.5</v>
      </c>
      <c r="S93" s="495"/>
      <c r="T93" s="500"/>
      <c r="W93" s="534"/>
      <c r="X93" s="317"/>
      <c r="Y93" s="317"/>
      <c r="Z93" s="317"/>
      <c r="AA93" s="317"/>
      <c r="AB93" s="317"/>
      <c r="AC93" s="317"/>
      <c r="AD93" s="317"/>
      <c r="AE93" s="317"/>
      <c r="AF93" s="317"/>
      <c r="AG93" s="317"/>
      <c r="AH93" s="530"/>
    </row>
    <row r="94" spans="1:34" ht="12.75">
      <c r="A94" s="148"/>
      <c r="B94" s="148"/>
      <c r="C94" s="148"/>
      <c r="D94" s="148"/>
      <c r="E94" s="495"/>
      <c r="F94" s="495"/>
      <c r="G94" s="424"/>
      <c r="H94" s="148"/>
      <c r="I94" s="425"/>
      <c r="K94" s="495"/>
      <c r="L94" s="495"/>
      <c r="M94" s="235"/>
      <c r="O94" s="425"/>
      <c r="P94" s="500"/>
      <c r="Q94" s="495"/>
      <c r="R94" s="495"/>
      <c r="S94" s="495"/>
      <c r="T94" s="500"/>
      <c r="W94" s="534"/>
      <c r="X94" s="317"/>
      <c r="Y94" s="317"/>
      <c r="Z94" s="317"/>
      <c r="AA94" s="317"/>
      <c r="AB94" s="317"/>
      <c r="AC94" s="317"/>
      <c r="AD94" s="317"/>
      <c r="AE94" s="317"/>
      <c r="AF94" s="317"/>
      <c r="AG94" s="317"/>
      <c r="AH94" s="530"/>
    </row>
    <row r="95" spans="1:34" ht="18">
      <c r="A95" s="419"/>
      <c r="B95" s="429" t="s">
        <v>318</v>
      </c>
      <c r="C95" s="419"/>
      <c r="D95" s="419"/>
      <c r="E95" s="469"/>
      <c r="F95" s="465">
        <f>SUM(F78:F93)</f>
        <v>35159500</v>
      </c>
      <c r="G95" s="421"/>
      <c r="H95" s="148"/>
      <c r="I95" s="425"/>
      <c r="J95" s="1"/>
      <c r="K95" s="469"/>
      <c r="L95" s="465">
        <f>SUM(L78:L93)</f>
        <v>9460750</v>
      </c>
      <c r="M95" s="469"/>
      <c r="O95" s="425"/>
      <c r="P95" s="1"/>
      <c r="Q95" s="469"/>
      <c r="R95" s="465">
        <f>SUM(R78:R93)</f>
        <v>7396062.5</v>
      </c>
      <c r="S95" s="469"/>
      <c r="T95" s="500"/>
      <c r="W95" s="534"/>
      <c r="X95" s="317"/>
      <c r="Y95" s="317"/>
      <c r="Z95" s="317"/>
      <c r="AA95" s="317"/>
      <c r="AB95" s="317"/>
      <c r="AC95" s="317"/>
      <c r="AD95" s="317"/>
      <c r="AE95" s="317"/>
      <c r="AF95" s="317"/>
      <c r="AG95" s="317"/>
      <c r="AH95" s="530"/>
    </row>
    <row r="96" spans="1:34" ht="18">
      <c r="A96" s="419"/>
      <c r="B96" s="429"/>
      <c r="C96" s="419"/>
      <c r="D96" s="419"/>
      <c r="E96" s="469"/>
      <c r="F96" s="511"/>
      <c r="G96" s="421"/>
      <c r="H96" s="148"/>
      <c r="I96" s="425"/>
      <c r="J96" s="1"/>
      <c r="K96" s="469"/>
      <c r="L96" s="511"/>
      <c r="M96" s="469"/>
      <c r="O96" s="425"/>
      <c r="P96" s="1"/>
      <c r="Q96" s="469"/>
      <c r="R96" s="511"/>
      <c r="S96" s="469"/>
      <c r="T96" s="500"/>
      <c r="W96" s="534"/>
      <c r="X96" s="317"/>
      <c r="Y96" s="317"/>
      <c r="Z96" s="317"/>
      <c r="AA96" s="317"/>
      <c r="AB96" s="317"/>
      <c r="AC96" s="317"/>
      <c r="AD96" s="317"/>
      <c r="AE96" s="317"/>
      <c r="AF96" s="317"/>
      <c r="AG96" s="317"/>
      <c r="AH96" s="530"/>
    </row>
    <row r="97" spans="1:34" ht="12.75">
      <c r="A97" s="148"/>
      <c r="B97" s="148"/>
      <c r="C97" s="148"/>
      <c r="D97" s="148"/>
      <c r="E97" s="495"/>
      <c r="F97" s="495"/>
      <c r="G97" s="424"/>
      <c r="H97" s="148"/>
      <c r="I97" s="425"/>
      <c r="K97" s="495"/>
      <c r="L97" s="495"/>
      <c r="M97" s="235"/>
      <c r="O97" s="425"/>
      <c r="P97" s="500"/>
      <c r="Q97" s="495"/>
      <c r="R97" s="495"/>
      <c r="S97" s="495"/>
      <c r="T97" s="500"/>
      <c r="W97" s="534"/>
      <c r="X97" s="317"/>
      <c r="Y97" s="317"/>
      <c r="Z97" s="317"/>
      <c r="AA97" s="317"/>
      <c r="AB97" s="317"/>
      <c r="AC97" s="317"/>
      <c r="AD97" s="317"/>
      <c r="AE97" s="317"/>
      <c r="AF97" s="317"/>
      <c r="AG97" s="317"/>
      <c r="AH97" s="530"/>
    </row>
    <row r="98" spans="1:34" ht="18">
      <c r="A98" s="420"/>
      <c r="B98" s="429" t="s">
        <v>497</v>
      </c>
      <c r="C98" s="419"/>
      <c r="D98" s="419"/>
      <c r="E98" s="469"/>
      <c r="F98" s="468" t="s">
        <v>319</v>
      </c>
      <c r="G98" s="421"/>
      <c r="H98" s="148"/>
      <c r="I98" s="425"/>
      <c r="J98" s="1"/>
      <c r="K98" s="469"/>
      <c r="L98" s="468" t="s">
        <v>319</v>
      </c>
      <c r="M98" s="469"/>
      <c r="O98" s="425"/>
      <c r="P98" s="1"/>
      <c r="Q98" s="469"/>
      <c r="R98" s="468" t="s">
        <v>319</v>
      </c>
      <c r="S98" s="469"/>
      <c r="T98" s="500"/>
      <c r="W98" s="534"/>
      <c r="X98" s="317"/>
      <c r="Y98" s="317"/>
      <c r="Z98" s="317"/>
      <c r="AA98" s="317"/>
      <c r="AB98" s="317"/>
      <c r="AC98" s="317"/>
      <c r="AD98" s="317"/>
      <c r="AE98" s="317"/>
      <c r="AF98" s="317"/>
      <c r="AG98" s="317"/>
      <c r="AH98" s="530"/>
    </row>
    <row r="99" spans="1:34" ht="12.75">
      <c r="A99" s="148"/>
      <c r="B99" s="148"/>
      <c r="C99" s="148"/>
      <c r="D99" s="148"/>
      <c r="E99" s="495"/>
      <c r="F99" s="469" t="s">
        <v>302</v>
      </c>
      <c r="G99" s="433" t="s">
        <v>320</v>
      </c>
      <c r="H99" s="148"/>
      <c r="I99" s="425"/>
      <c r="K99" s="495"/>
      <c r="L99" s="469" t="s">
        <v>302</v>
      </c>
      <c r="M99" s="470" t="s">
        <v>320</v>
      </c>
      <c r="O99" s="425"/>
      <c r="P99" s="500"/>
      <c r="Q99" s="495"/>
      <c r="R99" s="469" t="s">
        <v>302</v>
      </c>
      <c r="S99" s="470" t="s">
        <v>320</v>
      </c>
      <c r="T99" s="500"/>
      <c r="W99" s="534"/>
      <c r="X99" s="317"/>
      <c r="Y99" s="317"/>
      <c r="Z99" s="317"/>
      <c r="AA99" s="317"/>
      <c r="AB99" s="317"/>
      <c r="AC99" s="317"/>
      <c r="AD99" s="317"/>
      <c r="AE99" s="317"/>
      <c r="AF99" s="317"/>
      <c r="AG99" s="317"/>
      <c r="AH99" s="530"/>
    </row>
    <row r="100" spans="1:34" ht="12.75">
      <c r="A100" s="148">
        <v>6</v>
      </c>
      <c r="B100" s="148" t="s">
        <v>157</v>
      </c>
      <c r="C100" s="148" t="s">
        <v>326</v>
      </c>
      <c r="D100" s="148"/>
      <c r="E100" s="495">
        <f>4.5*75</f>
        <v>337.5</v>
      </c>
      <c r="F100" s="510">
        <f>E100*G100*F73*F74*12</f>
        <v>505440</v>
      </c>
      <c r="G100" s="512">
        <v>0.2</v>
      </c>
      <c r="H100" s="148" t="s">
        <v>376</v>
      </c>
      <c r="I100" s="425"/>
      <c r="K100" s="495">
        <v>75</v>
      </c>
      <c r="L100" s="510">
        <f>K100*M100*L73*L74*12</f>
        <v>112320</v>
      </c>
      <c r="M100" s="513">
        <v>0.2</v>
      </c>
      <c r="N100" t="s">
        <v>376</v>
      </c>
      <c r="O100" s="425"/>
      <c r="P100" s="500"/>
      <c r="Q100" s="495">
        <v>52.5</v>
      </c>
      <c r="R100" s="510">
        <f>Q100*S100*R73*R74*12</f>
        <v>78624</v>
      </c>
      <c r="S100" s="514">
        <v>0.2</v>
      </c>
      <c r="T100" s="500" t="s">
        <v>376</v>
      </c>
      <c r="W100" s="534"/>
      <c r="X100" s="317"/>
      <c r="Y100" s="317"/>
      <c r="Z100" s="317"/>
      <c r="AA100" s="317"/>
      <c r="AB100" s="317"/>
      <c r="AC100" s="317"/>
      <c r="AD100" s="317"/>
      <c r="AE100" s="317"/>
      <c r="AF100" s="317"/>
      <c r="AG100" s="317"/>
      <c r="AH100" s="530"/>
    </row>
    <row r="101" spans="1:34" ht="12.75">
      <c r="A101" s="148"/>
      <c r="B101" s="148"/>
      <c r="C101" s="148" t="s">
        <v>377</v>
      </c>
      <c r="D101" s="148"/>
      <c r="E101" s="495">
        <f>4.5*34</f>
        <v>153</v>
      </c>
      <c r="F101" s="510">
        <f>E101*G101*F73*F74*12</f>
        <v>8019.647999999999</v>
      </c>
      <c r="G101" s="515">
        <v>0.007</v>
      </c>
      <c r="H101" s="148" t="s">
        <v>362</v>
      </c>
      <c r="I101" s="425"/>
      <c r="K101" s="495">
        <v>34</v>
      </c>
      <c r="L101" s="510">
        <f>K101*M101*L73*L74*12</f>
        <v>1782.144</v>
      </c>
      <c r="M101" s="516">
        <v>0.007</v>
      </c>
      <c r="N101" t="s">
        <v>362</v>
      </c>
      <c r="O101" s="425"/>
      <c r="P101" s="500"/>
      <c r="Q101" s="495">
        <v>24</v>
      </c>
      <c r="R101" s="510">
        <f>Q101*S101*R73*R74*12</f>
        <v>1257.9840000000002</v>
      </c>
      <c r="S101" s="517">
        <v>0.007</v>
      </c>
      <c r="T101" s="500" t="s">
        <v>362</v>
      </c>
      <c r="W101" s="534"/>
      <c r="X101" s="317"/>
      <c r="Y101" s="317"/>
      <c r="Z101" s="317"/>
      <c r="AA101" s="317"/>
      <c r="AB101" s="317"/>
      <c r="AC101" s="317"/>
      <c r="AD101" s="317"/>
      <c r="AE101" s="317"/>
      <c r="AF101" s="317"/>
      <c r="AG101" s="317"/>
      <c r="AH101" s="530"/>
    </row>
    <row r="102" spans="1:34" ht="12.75">
      <c r="A102" s="148"/>
      <c r="B102" s="148"/>
      <c r="C102" s="148" t="s">
        <v>378</v>
      </c>
      <c r="D102" s="148"/>
      <c r="E102" s="518">
        <v>0.05</v>
      </c>
      <c r="F102" s="510">
        <f>F87*E102</f>
        <v>1546875</v>
      </c>
      <c r="G102" s="434"/>
      <c r="H102" s="148"/>
      <c r="I102" s="425"/>
      <c r="K102" s="518">
        <v>0.05</v>
      </c>
      <c r="L102" s="510">
        <f>L87*K102</f>
        <v>343750</v>
      </c>
      <c r="M102" s="519"/>
      <c r="O102" s="425"/>
      <c r="P102" s="500"/>
      <c r="Q102" s="518">
        <v>0.05</v>
      </c>
      <c r="R102" s="510">
        <f>R87*Q102</f>
        <v>257812.5</v>
      </c>
      <c r="S102" s="520"/>
      <c r="T102" s="500"/>
      <c r="W102" s="534"/>
      <c r="X102" s="317"/>
      <c r="Y102" s="317"/>
      <c r="Z102" s="317"/>
      <c r="AA102" s="317"/>
      <c r="AB102" s="317"/>
      <c r="AC102" s="317"/>
      <c r="AD102" s="317"/>
      <c r="AE102" s="317"/>
      <c r="AF102" s="317"/>
      <c r="AG102" s="317"/>
      <c r="AH102" s="530"/>
    </row>
    <row r="103" spans="1:34" ht="12.75">
      <c r="A103" s="148"/>
      <c r="B103" s="148"/>
      <c r="C103" s="148"/>
      <c r="D103" s="148"/>
      <c r="E103" s="495"/>
      <c r="F103" s="495"/>
      <c r="G103" s="434"/>
      <c r="H103" s="148"/>
      <c r="I103" s="425"/>
      <c r="K103" s="495"/>
      <c r="L103" s="495"/>
      <c r="M103" s="519"/>
      <c r="O103" s="425"/>
      <c r="P103" s="500"/>
      <c r="Q103" s="495"/>
      <c r="R103" s="495"/>
      <c r="S103" s="520"/>
      <c r="T103" s="500"/>
      <c r="W103" s="534"/>
      <c r="X103" s="317"/>
      <c r="Y103" s="317"/>
      <c r="Z103" s="317"/>
      <c r="AA103" s="317"/>
      <c r="AB103" s="317"/>
      <c r="AC103" s="317"/>
      <c r="AD103" s="317"/>
      <c r="AE103" s="317"/>
      <c r="AF103" s="317"/>
      <c r="AG103" s="317"/>
      <c r="AH103" s="530"/>
    </row>
    <row r="104" spans="1:34" ht="12.75">
      <c r="A104" s="148">
        <v>7</v>
      </c>
      <c r="B104" s="148" t="s">
        <v>334</v>
      </c>
      <c r="C104" s="148" t="s">
        <v>330</v>
      </c>
      <c r="D104" s="148"/>
      <c r="E104" s="518">
        <v>0.1</v>
      </c>
      <c r="F104" s="510">
        <f>F93*E104</f>
        <v>50000</v>
      </c>
      <c r="G104" s="434"/>
      <c r="H104" s="148"/>
      <c r="I104" s="425"/>
      <c r="K104" s="518">
        <v>0.1</v>
      </c>
      <c r="L104" s="510">
        <f>L93*K104</f>
        <v>34375</v>
      </c>
      <c r="M104" s="519"/>
      <c r="O104" s="425"/>
      <c r="P104" s="500"/>
      <c r="Q104" s="518">
        <v>0.1</v>
      </c>
      <c r="R104" s="510">
        <f>R93*Q104</f>
        <v>25781.25</v>
      </c>
      <c r="S104" s="520"/>
      <c r="T104" s="500"/>
      <c r="W104" s="534"/>
      <c r="X104" s="317"/>
      <c r="Y104" s="317"/>
      <c r="Z104" s="317"/>
      <c r="AA104" s="317"/>
      <c r="AB104" s="317"/>
      <c r="AC104" s="317"/>
      <c r="AD104" s="317"/>
      <c r="AE104" s="317"/>
      <c r="AF104" s="317"/>
      <c r="AG104" s="317"/>
      <c r="AH104" s="530"/>
    </row>
    <row r="105" spans="1:34" ht="12.75">
      <c r="A105" s="148"/>
      <c r="B105" s="148"/>
      <c r="C105" s="148"/>
      <c r="D105" s="148"/>
      <c r="E105" s="495"/>
      <c r="F105" s="495"/>
      <c r="G105" s="434"/>
      <c r="H105" s="148"/>
      <c r="I105" s="425"/>
      <c r="K105" s="495"/>
      <c r="L105" s="495"/>
      <c r="M105" s="519"/>
      <c r="O105" s="425"/>
      <c r="P105" s="500"/>
      <c r="Q105" s="495"/>
      <c r="R105" s="495"/>
      <c r="S105" s="520"/>
      <c r="T105" s="500"/>
      <c r="W105" s="534"/>
      <c r="X105" s="317"/>
      <c r="Y105" s="317"/>
      <c r="Z105" s="317"/>
      <c r="AA105" s="317"/>
      <c r="AB105" s="317"/>
      <c r="AC105" s="317"/>
      <c r="AD105" s="317"/>
      <c r="AE105" s="317"/>
      <c r="AF105" s="317"/>
      <c r="AG105" s="317"/>
      <c r="AH105" s="530"/>
    </row>
    <row r="106" spans="1:34" ht="12.75">
      <c r="A106" s="148">
        <v>8</v>
      </c>
      <c r="B106" s="148" t="s">
        <v>369</v>
      </c>
      <c r="C106" s="148"/>
      <c r="D106" s="148"/>
      <c r="E106" s="518">
        <v>0.9</v>
      </c>
      <c r="F106" s="510">
        <f>F71*E106*G106</f>
        <v>1142213.5296</v>
      </c>
      <c r="G106" s="434">
        <v>85.6</v>
      </c>
      <c r="H106" s="148" t="s">
        <v>337</v>
      </c>
      <c r="I106" s="425"/>
      <c r="K106" s="518">
        <v>0.9</v>
      </c>
      <c r="L106" s="510">
        <f>L71*K106*M106</f>
        <v>253825.2288</v>
      </c>
      <c r="M106" s="519">
        <v>85.6</v>
      </c>
      <c r="N106" t="s">
        <v>337</v>
      </c>
      <c r="O106" s="425"/>
      <c r="P106" s="500"/>
      <c r="Q106" s="518">
        <v>0.9</v>
      </c>
      <c r="R106" s="510">
        <f>R71*Q106*S106</f>
        <v>92300.0832</v>
      </c>
      <c r="S106" s="520">
        <v>85.6</v>
      </c>
      <c r="T106" s="500" t="s">
        <v>337</v>
      </c>
      <c r="W106" s="534"/>
      <c r="X106" s="317"/>
      <c r="Y106" s="317"/>
      <c r="Z106" s="317"/>
      <c r="AA106" s="317"/>
      <c r="AB106" s="317"/>
      <c r="AC106" s="317"/>
      <c r="AD106" s="317"/>
      <c r="AE106" s="317"/>
      <c r="AF106" s="317"/>
      <c r="AG106" s="317"/>
      <c r="AH106" s="530"/>
    </row>
    <row r="107" spans="1:34" ht="12.75">
      <c r="A107" s="148"/>
      <c r="B107" s="148"/>
      <c r="C107" s="148" t="s">
        <v>379</v>
      </c>
      <c r="D107" s="148"/>
      <c r="E107" s="521">
        <f>F71/6</f>
        <v>2471.04</v>
      </c>
      <c r="F107" s="510">
        <f>E107*G107</f>
        <v>1482624</v>
      </c>
      <c r="G107" s="434">
        <v>600</v>
      </c>
      <c r="H107" s="148" t="s">
        <v>339</v>
      </c>
      <c r="I107" s="425"/>
      <c r="K107" s="521">
        <f>L71/6</f>
        <v>549.12</v>
      </c>
      <c r="L107" s="510">
        <f>K107*M107</f>
        <v>329472</v>
      </c>
      <c r="M107" s="519">
        <v>600</v>
      </c>
      <c r="N107" t="s">
        <v>339</v>
      </c>
      <c r="O107" s="425"/>
      <c r="P107" s="500"/>
      <c r="Q107" s="521">
        <f>R71/6</f>
        <v>199.67999999999998</v>
      </c>
      <c r="R107" s="510">
        <f>Q107*S107</f>
        <v>119807.99999999999</v>
      </c>
      <c r="S107" s="520">
        <v>600</v>
      </c>
      <c r="T107" s="500" t="s">
        <v>339</v>
      </c>
      <c r="W107" s="534"/>
      <c r="X107" s="317"/>
      <c r="Y107" s="317"/>
      <c r="Z107" s="317"/>
      <c r="AA107" s="317"/>
      <c r="AB107" s="317"/>
      <c r="AC107" s="317"/>
      <c r="AD107" s="317"/>
      <c r="AE107" s="317"/>
      <c r="AF107" s="317"/>
      <c r="AG107" s="317"/>
      <c r="AH107" s="530"/>
    </row>
    <row r="108" spans="1:34" ht="12.75">
      <c r="A108" s="148"/>
      <c r="B108" s="148"/>
      <c r="C108" s="148"/>
      <c r="D108" s="148"/>
      <c r="E108" s="521"/>
      <c r="F108" s="510"/>
      <c r="G108" s="434"/>
      <c r="H108" s="148"/>
      <c r="I108" s="425"/>
      <c r="K108" s="521"/>
      <c r="L108" s="510"/>
      <c r="M108" s="519"/>
      <c r="O108" s="425"/>
      <c r="P108" s="500"/>
      <c r="Q108" s="521"/>
      <c r="R108" s="510"/>
      <c r="S108" s="520"/>
      <c r="T108" s="500"/>
      <c r="W108" s="534"/>
      <c r="X108" s="317"/>
      <c r="Y108" s="317"/>
      <c r="Z108" s="317"/>
      <c r="AA108" s="317"/>
      <c r="AB108" s="317"/>
      <c r="AC108" s="317"/>
      <c r="AD108" s="317"/>
      <c r="AE108" s="317"/>
      <c r="AF108" s="317"/>
      <c r="AG108" s="317"/>
      <c r="AH108" s="530"/>
    </row>
    <row r="109" spans="1:34" ht="12.75">
      <c r="A109" s="148">
        <v>9</v>
      </c>
      <c r="B109" s="148" t="s">
        <v>371</v>
      </c>
      <c r="C109" s="148"/>
      <c r="D109" s="148"/>
      <c r="E109" s="521"/>
      <c r="F109" s="510"/>
      <c r="G109" s="434"/>
      <c r="H109" s="148"/>
      <c r="I109" s="425"/>
      <c r="K109" s="521"/>
      <c r="L109" s="510"/>
      <c r="M109" s="519"/>
      <c r="O109" s="425"/>
      <c r="P109" s="500"/>
      <c r="Q109" s="521"/>
      <c r="R109" s="510"/>
      <c r="S109" s="520"/>
      <c r="T109" s="500"/>
      <c r="W109" s="534"/>
      <c r="X109" s="317"/>
      <c r="Y109" s="317"/>
      <c r="Z109" s="317"/>
      <c r="AA109" s="317"/>
      <c r="AB109" s="317"/>
      <c r="AC109" s="317"/>
      <c r="AD109" s="317"/>
      <c r="AE109" s="317"/>
      <c r="AF109" s="317"/>
      <c r="AG109" s="317"/>
      <c r="AH109" s="530"/>
    </row>
    <row r="110" spans="1:34" ht="12.75">
      <c r="A110" s="148"/>
      <c r="B110" s="148"/>
      <c r="C110" s="148" t="s">
        <v>372</v>
      </c>
      <c r="D110" s="148"/>
      <c r="E110" s="522">
        <v>0.025</v>
      </c>
      <c r="F110" s="510">
        <f>F71*E110*G110</f>
        <v>370656</v>
      </c>
      <c r="G110" s="434">
        <v>1000</v>
      </c>
      <c r="H110" s="148" t="s">
        <v>337</v>
      </c>
      <c r="I110" s="425"/>
      <c r="K110" s="522">
        <v>0.025</v>
      </c>
      <c r="L110" s="510">
        <f>L71*K110*M110</f>
        <v>82368.00000000001</v>
      </c>
      <c r="M110" s="519">
        <v>1000</v>
      </c>
      <c r="N110" t="s">
        <v>337</v>
      </c>
      <c r="O110" s="425"/>
      <c r="P110" s="500"/>
      <c r="Q110" s="522">
        <v>0.025</v>
      </c>
      <c r="R110" s="510">
        <f>R71*Q110*S110</f>
        <v>29952</v>
      </c>
      <c r="S110" s="520">
        <v>1000</v>
      </c>
      <c r="T110" s="500" t="s">
        <v>337</v>
      </c>
      <c r="W110" s="534"/>
      <c r="X110" s="317"/>
      <c r="Y110" s="317"/>
      <c r="Z110" s="317"/>
      <c r="AA110" s="317"/>
      <c r="AB110" s="317"/>
      <c r="AC110" s="317"/>
      <c r="AD110" s="317"/>
      <c r="AE110" s="317"/>
      <c r="AF110" s="317"/>
      <c r="AG110" s="317"/>
      <c r="AH110" s="530"/>
    </row>
    <row r="111" spans="1:34" ht="12.75">
      <c r="A111" s="148"/>
      <c r="B111" s="148"/>
      <c r="C111" s="148"/>
      <c r="D111" s="148"/>
      <c r="E111" s="522"/>
      <c r="F111" s="510"/>
      <c r="G111" s="424"/>
      <c r="H111" s="148"/>
      <c r="I111" s="425"/>
      <c r="K111" s="522"/>
      <c r="L111" s="510"/>
      <c r="M111" s="235"/>
      <c r="O111" s="425"/>
      <c r="P111" s="500"/>
      <c r="Q111" s="495"/>
      <c r="R111" s="495"/>
      <c r="S111" s="495"/>
      <c r="T111" s="500"/>
      <c r="W111" s="534"/>
      <c r="X111" s="317"/>
      <c r="Y111" s="317"/>
      <c r="Z111" s="317"/>
      <c r="AA111" s="317"/>
      <c r="AB111" s="317"/>
      <c r="AC111" s="317"/>
      <c r="AD111" s="317"/>
      <c r="AE111" s="317"/>
      <c r="AF111" s="317"/>
      <c r="AG111" s="317"/>
      <c r="AH111" s="530"/>
    </row>
    <row r="112" spans="1:34" ht="12.75">
      <c r="A112" s="148">
        <v>10</v>
      </c>
      <c r="B112" s="148" t="s">
        <v>343</v>
      </c>
      <c r="C112" s="148"/>
      <c r="D112" s="148"/>
      <c r="E112" s="495" t="s">
        <v>373</v>
      </c>
      <c r="F112" s="510">
        <v>6000</v>
      </c>
      <c r="G112" s="424" t="s">
        <v>374</v>
      </c>
      <c r="H112" s="148"/>
      <c r="I112" s="425"/>
      <c r="K112" s="495" t="s">
        <v>373</v>
      </c>
      <c r="L112" s="510">
        <v>6000</v>
      </c>
      <c r="M112" s="235" t="s">
        <v>374</v>
      </c>
      <c r="O112" s="425"/>
      <c r="P112" s="500"/>
      <c r="Q112" s="495" t="s">
        <v>373</v>
      </c>
      <c r="R112" s="510">
        <v>6000</v>
      </c>
      <c r="S112" s="495" t="s">
        <v>374</v>
      </c>
      <c r="T112" s="500"/>
      <c r="W112" s="534"/>
      <c r="X112" s="317"/>
      <c r="Y112" s="317"/>
      <c r="Z112" s="317"/>
      <c r="AA112" s="317"/>
      <c r="AB112" s="317"/>
      <c r="AC112" s="317"/>
      <c r="AD112" s="317"/>
      <c r="AE112" s="317"/>
      <c r="AF112" s="317"/>
      <c r="AG112" s="317"/>
      <c r="AH112" s="530"/>
    </row>
    <row r="113" spans="1:34" ht="12.75">
      <c r="A113" s="148">
        <v>11</v>
      </c>
      <c r="B113" s="148" t="s">
        <v>346</v>
      </c>
      <c r="C113" s="148"/>
      <c r="D113" s="148"/>
      <c r="E113" s="495" t="s">
        <v>347</v>
      </c>
      <c r="F113" s="510">
        <v>10000</v>
      </c>
      <c r="G113" s="424"/>
      <c r="H113" s="148"/>
      <c r="I113" s="425"/>
      <c r="K113" s="495" t="s">
        <v>347</v>
      </c>
      <c r="L113" s="510">
        <v>10000</v>
      </c>
      <c r="M113" s="235"/>
      <c r="O113" s="425"/>
      <c r="P113" s="500"/>
      <c r="Q113" s="495" t="s">
        <v>347</v>
      </c>
      <c r="R113" s="510">
        <v>10000</v>
      </c>
      <c r="S113" s="495"/>
      <c r="T113" s="500"/>
      <c r="W113" s="534"/>
      <c r="X113" s="317"/>
      <c r="Y113" s="317"/>
      <c r="Z113" s="317"/>
      <c r="AA113" s="317"/>
      <c r="AB113" s="317"/>
      <c r="AC113" s="317"/>
      <c r="AD113" s="317"/>
      <c r="AE113" s="317"/>
      <c r="AF113" s="317"/>
      <c r="AG113" s="317"/>
      <c r="AH113" s="530"/>
    </row>
    <row r="114" spans="1:34" ht="13.5" thickBot="1">
      <c r="A114" s="148"/>
      <c r="B114" s="148"/>
      <c r="C114" s="148"/>
      <c r="D114" s="148"/>
      <c r="E114" s="495"/>
      <c r="F114" s="495"/>
      <c r="G114" s="424"/>
      <c r="H114" s="148"/>
      <c r="I114" s="425"/>
      <c r="K114" s="495"/>
      <c r="L114" s="495"/>
      <c r="M114" s="235"/>
      <c r="O114" s="425"/>
      <c r="P114" s="500"/>
      <c r="Q114" s="495"/>
      <c r="R114" s="495"/>
      <c r="S114" s="495"/>
      <c r="T114" s="500"/>
      <c r="W114" s="537"/>
      <c r="X114" s="538"/>
      <c r="Y114" s="538"/>
      <c r="Z114" s="538"/>
      <c r="AA114" s="538"/>
      <c r="AB114" s="538"/>
      <c r="AC114" s="538"/>
      <c r="AD114" s="538"/>
      <c r="AE114" s="538"/>
      <c r="AF114" s="538"/>
      <c r="AG114" s="538"/>
      <c r="AH114" s="539"/>
    </row>
    <row r="115" spans="1:20" ht="13.5" thickTop="1">
      <c r="A115" s="148">
        <v>12</v>
      </c>
      <c r="B115" s="148" t="s">
        <v>348</v>
      </c>
      <c r="C115" s="148"/>
      <c r="D115" s="148"/>
      <c r="E115" s="495"/>
      <c r="F115" s="510">
        <v>600000</v>
      </c>
      <c r="G115" s="424"/>
      <c r="H115" s="148"/>
      <c r="I115" s="425"/>
      <c r="K115" s="495"/>
      <c r="L115" s="510">
        <v>500000</v>
      </c>
      <c r="M115" s="235"/>
      <c r="O115" s="425"/>
      <c r="P115" s="500"/>
      <c r="Q115" s="495"/>
      <c r="R115" s="510">
        <v>450000</v>
      </c>
      <c r="S115" s="495"/>
      <c r="T115" s="500"/>
    </row>
    <row r="116" spans="1:20" ht="12.75">
      <c r="A116" s="148"/>
      <c r="B116" s="148"/>
      <c r="C116" s="148"/>
      <c r="D116" s="148"/>
      <c r="E116" s="495"/>
      <c r="F116" s="495"/>
      <c r="G116" s="424"/>
      <c r="H116" s="148"/>
      <c r="I116" s="425"/>
      <c r="K116" s="495"/>
      <c r="L116" s="495"/>
      <c r="M116" s="235"/>
      <c r="O116" s="425"/>
      <c r="P116" s="500"/>
      <c r="Q116" s="495"/>
      <c r="R116" s="495"/>
      <c r="S116" s="495"/>
      <c r="T116" s="500"/>
    </row>
    <row r="117" spans="1:20" ht="12.75">
      <c r="A117" s="148">
        <v>13</v>
      </c>
      <c r="B117" s="148" t="s">
        <v>349</v>
      </c>
      <c r="C117" s="148"/>
      <c r="D117" s="148"/>
      <c r="E117" s="495"/>
      <c r="F117" s="510">
        <v>100000</v>
      </c>
      <c r="G117" s="424"/>
      <c r="H117" s="148"/>
      <c r="I117" s="425"/>
      <c r="K117" s="495"/>
      <c r="L117" s="510">
        <v>50000</v>
      </c>
      <c r="M117" s="235"/>
      <c r="O117" s="425"/>
      <c r="P117" s="500"/>
      <c r="Q117" s="495"/>
      <c r="R117" s="510">
        <v>25000</v>
      </c>
      <c r="S117" s="495"/>
      <c r="T117" s="500"/>
    </row>
    <row r="118" spans="1:20" ht="12.75">
      <c r="A118" s="148"/>
      <c r="B118" s="148"/>
      <c r="C118" s="148"/>
      <c r="D118" s="148"/>
      <c r="E118" s="495"/>
      <c r="F118" s="495"/>
      <c r="G118" s="424"/>
      <c r="H118" s="148"/>
      <c r="I118" s="425"/>
      <c r="K118" s="495"/>
      <c r="L118" s="495"/>
      <c r="M118" s="235"/>
      <c r="O118" s="425"/>
      <c r="P118" s="500"/>
      <c r="Q118" s="495"/>
      <c r="R118" s="495"/>
      <c r="S118" s="495"/>
      <c r="T118" s="500"/>
    </row>
    <row r="119" spans="1:20" ht="18">
      <c r="A119" s="419"/>
      <c r="B119" s="652" t="s">
        <v>498</v>
      </c>
      <c r="C119" s="429"/>
      <c r="D119" s="429"/>
      <c r="E119" s="524"/>
      <c r="F119" s="465">
        <f>SUM(F100:F117)</f>
        <v>5821828.1776</v>
      </c>
      <c r="G119" s="659"/>
      <c r="H119" s="660"/>
      <c r="I119" s="656"/>
      <c r="J119" s="463"/>
      <c r="K119" s="524" t="s">
        <v>350</v>
      </c>
      <c r="L119" s="465">
        <f>SUM(L100:L117)</f>
        <v>1723892.3728</v>
      </c>
      <c r="M119" s="524"/>
      <c r="N119" s="601"/>
      <c r="O119" s="656"/>
      <c r="P119" s="463"/>
      <c r="Q119" s="524" t="s">
        <v>350</v>
      </c>
      <c r="R119" s="465">
        <f>SUM(R100:R117)</f>
        <v>1096535.8172</v>
      </c>
      <c r="S119" s="524"/>
      <c r="T119" s="500"/>
    </row>
    <row r="120" spans="1:20" ht="12.75">
      <c r="A120" s="419"/>
      <c r="B120" s="419"/>
      <c r="C120" s="419"/>
      <c r="D120" s="419"/>
      <c r="E120" s="469"/>
      <c r="F120" s="523"/>
      <c r="G120" s="421"/>
      <c r="H120" s="148"/>
      <c r="I120" s="425"/>
      <c r="J120" s="1"/>
      <c r="K120" s="469"/>
      <c r="L120" s="523"/>
      <c r="M120" s="469"/>
      <c r="O120" s="425"/>
      <c r="P120" s="1"/>
      <c r="Q120" s="469"/>
      <c r="R120" s="523"/>
      <c r="S120" s="469"/>
      <c r="T120" s="500"/>
    </row>
    <row r="122" spans="1:32" ht="16.5" customHeight="1" thickBo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309"/>
      <c r="AF122" s="309"/>
    </row>
    <row r="123" spans="1:32" ht="31.5" thickBot="1" thickTop="1">
      <c r="A123" s="309"/>
      <c r="B123" s="309"/>
      <c r="C123" s="1076" t="s">
        <v>492</v>
      </c>
      <c r="D123" s="1077"/>
      <c r="E123" s="1077"/>
      <c r="F123" s="1077"/>
      <c r="G123" s="1078"/>
      <c r="H123" s="387"/>
      <c r="I123" s="387"/>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row>
    <row r="124" spans="1:32" ht="17.25" customHeight="1" thickTop="1">
      <c r="A124" s="309"/>
      <c r="B124" s="443"/>
      <c r="C124" s="402"/>
      <c r="D124" s="402"/>
      <c r="E124" s="402"/>
      <c r="F124" s="402"/>
      <c r="G124" s="402"/>
      <c r="H124" s="387"/>
      <c r="I124" s="387"/>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row>
    <row r="125" spans="1:27" ht="24" thickBot="1">
      <c r="A125" s="164"/>
      <c r="B125" s="444"/>
      <c r="C125" s="164"/>
      <c r="D125" s="164"/>
      <c r="E125" s="164"/>
      <c r="F125" s="164"/>
      <c r="G125" s="164"/>
      <c r="H125" s="1"/>
      <c r="I125" s="407"/>
      <c r="O125" s="425"/>
      <c r="U125" s="425"/>
      <c r="AA125" s="425"/>
    </row>
    <row r="126" spans="1:34" ht="15">
      <c r="A126" s="164"/>
      <c r="B126" s="164"/>
      <c r="C126" s="164"/>
      <c r="D126" s="663" t="s">
        <v>351</v>
      </c>
      <c r="E126" s="664"/>
      <c r="F126" s="665">
        <v>1778</v>
      </c>
      <c r="G126" s="666" t="s">
        <v>211</v>
      </c>
      <c r="H126" s="1"/>
      <c r="I126" s="407"/>
      <c r="J126" s="663" t="s">
        <v>351</v>
      </c>
      <c r="K126" s="664"/>
      <c r="L126" s="665">
        <v>1334</v>
      </c>
      <c r="M126" s="666" t="s">
        <v>211</v>
      </c>
      <c r="N126" s="1"/>
      <c r="O126" s="462"/>
      <c r="P126" s="663" t="s">
        <v>351</v>
      </c>
      <c r="Q126" s="664"/>
      <c r="R126" s="665">
        <v>889</v>
      </c>
      <c r="S126" s="666" t="s">
        <v>211</v>
      </c>
      <c r="T126" s="1"/>
      <c r="U126" s="462"/>
      <c r="V126" s="663" t="s">
        <v>351</v>
      </c>
      <c r="W126" s="664"/>
      <c r="X126" s="665">
        <v>222</v>
      </c>
      <c r="Y126" s="666" t="s">
        <v>211</v>
      </c>
      <c r="Z126" s="1"/>
      <c r="AA126" s="462"/>
      <c r="AB126" s="663" t="s">
        <v>351</v>
      </c>
      <c r="AC126" s="664"/>
      <c r="AD126" s="665">
        <v>89</v>
      </c>
      <c r="AE126" s="666" t="s">
        <v>211</v>
      </c>
      <c r="AF126" s="164"/>
      <c r="AG126" s="157"/>
      <c r="AH126" s="157"/>
    </row>
    <row r="127" spans="1:32" ht="12.75">
      <c r="A127" s="164"/>
      <c r="B127" s="164"/>
      <c r="C127" s="164"/>
      <c r="D127" s="449" t="s">
        <v>352</v>
      </c>
      <c r="E127" s="22"/>
      <c r="F127" s="129">
        <v>27</v>
      </c>
      <c r="G127" s="415"/>
      <c r="H127" s="1"/>
      <c r="I127" s="407"/>
      <c r="J127" s="449" t="s">
        <v>352</v>
      </c>
      <c r="K127" s="22"/>
      <c r="L127" s="129">
        <v>27</v>
      </c>
      <c r="M127" s="415"/>
      <c r="N127" s="1"/>
      <c r="O127" s="425"/>
      <c r="P127" s="449" t="s">
        <v>352</v>
      </c>
      <c r="Q127" s="22"/>
      <c r="R127" s="129">
        <v>27</v>
      </c>
      <c r="S127" s="415"/>
      <c r="T127" s="1"/>
      <c r="U127" s="425"/>
      <c r="V127" s="449" t="s">
        <v>352</v>
      </c>
      <c r="W127" s="22"/>
      <c r="X127" s="129">
        <v>27</v>
      </c>
      <c r="Y127" s="415"/>
      <c r="Z127" s="1"/>
      <c r="AA127" s="425"/>
      <c r="AB127" s="449" t="s">
        <v>352</v>
      </c>
      <c r="AC127" s="22"/>
      <c r="AD127" s="129">
        <v>27</v>
      </c>
      <c r="AE127" s="415"/>
      <c r="AF127" s="164"/>
    </row>
    <row r="128" spans="1:32" ht="12.75">
      <c r="A128" s="164"/>
      <c r="B128" s="164"/>
      <c r="C128" s="164"/>
      <c r="D128" s="449" t="s">
        <v>300</v>
      </c>
      <c r="E128" s="22"/>
      <c r="F128" s="129">
        <v>24</v>
      </c>
      <c r="G128" s="415"/>
      <c r="H128" s="1"/>
      <c r="I128" s="407"/>
      <c r="J128" s="449" t="s">
        <v>300</v>
      </c>
      <c r="K128" s="22"/>
      <c r="L128" s="129">
        <v>24</v>
      </c>
      <c r="M128" s="415"/>
      <c r="N128" s="1"/>
      <c r="O128" s="425"/>
      <c r="P128" s="449" t="s">
        <v>300</v>
      </c>
      <c r="Q128" s="22"/>
      <c r="R128" s="129">
        <v>24</v>
      </c>
      <c r="S128" s="415"/>
      <c r="T128" s="1"/>
      <c r="U128" s="425"/>
      <c r="V128" s="449" t="s">
        <v>300</v>
      </c>
      <c r="W128" s="22"/>
      <c r="X128" s="129">
        <v>24</v>
      </c>
      <c r="Y128" s="415"/>
      <c r="Z128" s="1"/>
      <c r="AA128" s="425"/>
      <c r="AB128" s="449" t="s">
        <v>300</v>
      </c>
      <c r="AC128" s="22"/>
      <c r="AD128" s="129">
        <v>24</v>
      </c>
      <c r="AE128" s="415"/>
      <c r="AF128" s="164"/>
    </row>
    <row r="129" spans="1:32" ht="12.75">
      <c r="A129" s="164"/>
      <c r="B129" s="164"/>
      <c r="C129" s="164"/>
      <c r="D129" s="449" t="s">
        <v>353</v>
      </c>
      <c r="E129" s="22"/>
      <c r="F129" s="129">
        <v>26</v>
      </c>
      <c r="G129" s="415"/>
      <c r="H129" s="1"/>
      <c r="I129" s="407"/>
      <c r="J129" s="449" t="s">
        <v>353</v>
      </c>
      <c r="K129" s="22"/>
      <c r="L129" s="129">
        <v>26</v>
      </c>
      <c r="M129" s="415"/>
      <c r="N129" s="1"/>
      <c r="O129" s="425"/>
      <c r="P129" s="449" t="s">
        <v>353</v>
      </c>
      <c r="Q129" s="22"/>
      <c r="R129" s="129">
        <v>26</v>
      </c>
      <c r="S129" s="415"/>
      <c r="T129" s="1"/>
      <c r="U129" s="425"/>
      <c r="V129" s="449" t="s">
        <v>353</v>
      </c>
      <c r="W129" s="22"/>
      <c r="X129" s="129">
        <v>26</v>
      </c>
      <c r="Y129" s="415"/>
      <c r="Z129" s="1"/>
      <c r="AA129" s="425"/>
      <c r="AB129" s="449" t="s">
        <v>353</v>
      </c>
      <c r="AC129" s="22"/>
      <c r="AD129" s="129">
        <v>26</v>
      </c>
      <c r="AE129" s="415"/>
      <c r="AF129" s="164"/>
    </row>
    <row r="130" spans="1:32" ht="12.75">
      <c r="A130" s="164"/>
      <c r="B130" s="164"/>
      <c r="C130" s="164"/>
      <c r="D130" s="449" t="s">
        <v>354</v>
      </c>
      <c r="E130" s="22"/>
      <c r="F130" s="129">
        <v>2000</v>
      </c>
      <c r="G130" s="415" t="s">
        <v>211</v>
      </c>
      <c r="H130" s="1"/>
      <c r="I130" s="407"/>
      <c r="J130" s="449" t="s">
        <v>354</v>
      </c>
      <c r="K130" s="22"/>
      <c r="L130" s="129">
        <v>1500</v>
      </c>
      <c r="M130" s="415" t="s">
        <v>211</v>
      </c>
      <c r="N130" s="1"/>
      <c r="O130" s="425"/>
      <c r="P130" s="449" t="s">
        <v>354</v>
      </c>
      <c r="Q130" s="22"/>
      <c r="R130" s="129">
        <v>1000</v>
      </c>
      <c r="S130" s="415" t="s">
        <v>211</v>
      </c>
      <c r="T130" s="1"/>
      <c r="U130" s="425"/>
      <c r="V130" s="449" t="s">
        <v>354</v>
      </c>
      <c r="W130" s="22"/>
      <c r="X130" s="129">
        <v>250</v>
      </c>
      <c r="Y130" s="415" t="s">
        <v>211</v>
      </c>
      <c r="Z130" s="1"/>
      <c r="AA130" s="425"/>
      <c r="AB130" s="449" t="s">
        <v>354</v>
      </c>
      <c r="AC130" s="22"/>
      <c r="AD130" s="129">
        <v>100</v>
      </c>
      <c r="AE130" s="415" t="s">
        <v>211</v>
      </c>
      <c r="AF130" s="164"/>
    </row>
    <row r="131" spans="1:32" ht="16.5" thickBot="1">
      <c r="A131" s="164"/>
      <c r="B131" s="164"/>
      <c r="C131" s="164"/>
      <c r="D131" s="667" t="s">
        <v>355</v>
      </c>
      <c r="E131" s="668"/>
      <c r="F131" s="669">
        <f>(F126/1000)*F127*(F128/24)*F129*12</f>
        <v>14977.872</v>
      </c>
      <c r="G131" s="670" t="s">
        <v>297</v>
      </c>
      <c r="H131" s="28"/>
      <c r="I131" s="447"/>
      <c r="J131" s="667" t="s">
        <v>355</v>
      </c>
      <c r="K131" s="668"/>
      <c r="L131" s="669">
        <f>(L126/1000)*L127*(L128/24)*L129*12</f>
        <v>11237.616000000002</v>
      </c>
      <c r="M131" s="670" t="s">
        <v>297</v>
      </c>
      <c r="N131" s="28"/>
      <c r="O131" s="448"/>
      <c r="P131" s="667" t="s">
        <v>355</v>
      </c>
      <c r="Q131" s="668"/>
      <c r="R131" s="669">
        <f>(R126/1000)*R127*(R128/24)*R129*12</f>
        <v>7488.936</v>
      </c>
      <c r="S131" s="670" t="s">
        <v>297</v>
      </c>
      <c r="T131" s="28"/>
      <c r="U131" s="448"/>
      <c r="V131" s="667" t="s">
        <v>355</v>
      </c>
      <c r="W131" s="668"/>
      <c r="X131" s="669">
        <f>(X126/1000)*X127*(X128/24)*X129*12</f>
        <v>1870.128</v>
      </c>
      <c r="Y131" s="670" t="s">
        <v>297</v>
      </c>
      <c r="Z131" s="28"/>
      <c r="AA131" s="448"/>
      <c r="AB131" s="667" t="s">
        <v>355</v>
      </c>
      <c r="AC131" s="668"/>
      <c r="AD131" s="669">
        <f>(AD126/1000)*AD127*(AD128/24)*AD129*12</f>
        <v>749.736</v>
      </c>
      <c r="AE131" s="670" t="s">
        <v>297</v>
      </c>
      <c r="AF131" s="113"/>
    </row>
    <row r="132" spans="1:32" ht="12.75">
      <c r="A132" s="164"/>
      <c r="B132" s="164"/>
      <c r="C132" s="164"/>
      <c r="D132" s="164"/>
      <c r="E132" s="164"/>
      <c r="F132" s="164"/>
      <c r="G132" s="164"/>
      <c r="H132" s="1"/>
      <c r="I132" s="407"/>
      <c r="J132" s="164"/>
      <c r="K132" s="164"/>
      <c r="L132" s="164"/>
      <c r="M132" s="164"/>
      <c r="N132" s="1"/>
      <c r="O132" s="425"/>
      <c r="P132" s="164"/>
      <c r="Q132" s="164"/>
      <c r="R132" s="164"/>
      <c r="S132" s="164"/>
      <c r="T132" s="1"/>
      <c r="U132" s="425"/>
      <c r="V132" s="164"/>
      <c r="W132" s="164"/>
      <c r="X132" s="164"/>
      <c r="Y132" s="164"/>
      <c r="Z132" s="1"/>
      <c r="AA132" s="425"/>
      <c r="AB132" s="164"/>
      <c r="AC132" s="164"/>
      <c r="AD132" s="164"/>
      <c r="AE132" s="164"/>
      <c r="AF132" s="164"/>
    </row>
    <row r="133" spans="1:32" ht="12.75">
      <c r="A133" s="164"/>
      <c r="B133" s="164"/>
      <c r="C133" s="164"/>
      <c r="D133" s="164"/>
      <c r="E133" s="164"/>
      <c r="F133" s="164"/>
      <c r="G133" s="164"/>
      <c r="H133" s="1"/>
      <c r="I133" s="407"/>
      <c r="J133" s="164"/>
      <c r="K133" s="164"/>
      <c r="L133" s="164"/>
      <c r="M133" s="164"/>
      <c r="N133" s="1"/>
      <c r="O133" s="425"/>
      <c r="P133" s="164"/>
      <c r="Q133" s="164"/>
      <c r="R133" s="164"/>
      <c r="S133" s="164"/>
      <c r="T133" s="1"/>
      <c r="U133" s="425"/>
      <c r="V133" s="164"/>
      <c r="W133" s="164"/>
      <c r="X133" s="164"/>
      <c r="Y133" s="164"/>
      <c r="Z133" s="1"/>
      <c r="AA133" s="425"/>
      <c r="AB133" s="164"/>
      <c r="AC133" s="164"/>
      <c r="AD133" s="164"/>
      <c r="AE133" s="164"/>
      <c r="AF133" s="164"/>
    </row>
    <row r="134" spans="1:32" ht="12.75">
      <c r="A134" s="164"/>
      <c r="B134" s="164"/>
      <c r="C134" s="164"/>
      <c r="D134" s="164"/>
      <c r="E134" s="164"/>
      <c r="F134" s="164"/>
      <c r="G134" s="164"/>
      <c r="H134" s="1"/>
      <c r="I134" s="407"/>
      <c r="J134" s="164"/>
      <c r="K134" s="164"/>
      <c r="L134" s="164"/>
      <c r="M134" s="164"/>
      <c r="N134" s="1"/>
      <c r="O134" s="425"/>
      <c r="P134" s="164"/>
      <c r="Q134" s="164"/>
      <c r="R134" s="164"/>
      <c r="S134" s="164"/>
      <c r="T134" s="1"/>
      <c r="U134" s="425"/>
      <c r="V134" s="164"/>
      <c r="W134" s="164"/>
      <c r="X134" s="164"/>
      <c r="Y134" s="164"/>
      <c r="Z134" s="164"/>
      <c r="AA134" s="425"/>
      <c r="AB134" s="164"/>
      <c r="AC134" s="164"/>
      <c r="AD134" s="164"/>
      <c r="AE134" s="164"/>
      <c r="AF134" s="164"/>
    </row>
    <row r="135" spans="2:32" ht="18">
      <c r="B135" s="429" t="s">
        <v>301</v>
      </c>
      <c r="C135" s="164"/>
      <c r="D135" s="164"/>
      <c r="E135" s="164"/>
      <c r="F135" s="451" t="s">
        <v>302</v>
      </c>
      <c r="G135" s="164"/>
      <c r="H135" s="1"/>
      <c r="I135" s="407"/>
      <c r="J135" s="164"/>
      <c r="K135" s="164"/>
      <c r="L135" s="451" t="s">
        <v>302</v>
      </c>
      <c r="M135" s="164"/>
      <c r="N135" s="1"/>
      <c r="O135" s="425"/>
      <c r="P135" s="164"/>
      <c r="Q135" s="164"/>
      <c r="R135" s="451" t="s">
        <v>302</v>
      </c>
      <c r="S135" s="164"/>
      <c r="T135" s="1"/>
      <c r="U135" s="425"/>
      <c r="V135" s="164"/>
      <c r="W135" s="164"/>
      <c r="X135" s="451" t="s">
        <v>302</v>
      </c>
      <c r="Y135" s="164"/>
      <c r="Z135" s="164"/>
      <c r="AA135" s="425"/>
      <c r="AB135" s="164"/>
      <c r="AC135" s="164"/>
      <c r="AD135" s="451" t="s">
        <v>302</v>
      </c>
      <c r="AE135" s="164"/>
      <c r="AF135" s="164"/>
    </row>
    <row r="136" spans="1:32" ht="12.75">
      <c r="A136" s="22"/>
      <c r="B136" s="22"/>
      <c r="C136" s="22"/>
      <c r="D136" s="22"/>
      <c r="E136" s="22"/>
      <c r="F136" s="22"/>
      <c r="G136" s="22"/>
      <c r="H136" s="22"/>
      <c r="I136" s="425"/>
      <c r="J136" s="22"/>
      <c r="K136" s="22"/>
      <c r="L136" s="22"/>
      <c r="M136" s="22"/>
      <c r="N136" s="22"/>
      <c r="O136" s="425"/>
      <c r="P136" s="22"/>
      <c r="Q136" s="22"/>
      <c r="R136" s="22"/>
      <c r="S136" s="22"/>
      <c r="T136" s="22"/>
      <c r="U136" s="425"/>
      <c r="V136" s="22"/>
      <c r="W136" s="22"/>
      <c r="X136" s="22"/>
      <c r="Y136" s="22"/>
      <c r="Z136" s="22"/>
      <c r="AA136" s="425"/>
      <c r="AB136" s="452"/>
      <c r="AC136" s="452"/>
      <c r="AD136" s="452"/>
      <c r="AE136" s="452"/>
      <c r="AF136" s="452"/>
    </row>
    <row r="137" spans="1:32" ht="12.75">
      <c r="A137" s="22">
        <v>1</v>
      </c>
      <c r="B137" s="22" t="s">
        <v>303</v>
      </c>
      <c r="C137" s="22" t="s">
        <v>304</v>
      </c>
      <c r="D137" s="183">
        <v>7000</v>
      </c>
      <c r="E137" s="103" t="s">
        <v>305</v>
      </c>
      <c r="F137" s="453">
        <f>D137*200</f>
        <v>1400000</v>
      </c>
      <c r="G137" s="103"/>
      <c r="H137" s="22"/>
      <c r="I137" s="425"/>
      <c r="J137" s="183">
        <v>6000</v>
      </c>
      <c r="K137" s="103" t="s">
        <v>305</v>
      </c>
      <c r="L137" s="453">
        <f>J137*200</f>
        <v>1200000</v>
      </c>
      <c r="M137" s="103"/>
      <c r="N137" s="22"/>
      <c r="O137" s="425"/>
      <c r="P137" s="183">
        <v>4500</v>
      </c>
      <c r="Q137" s="103" t="s">
        <v>305</v>
      </c>
      <c r="R137" s="453">
        <f>P137*200</f>
        <v>900000</v>
      </c>
      <c r="S137" s="103"/>
      <c r="T137" s="22"/>
      <c r="U137" s="425"/>
      <c r="V137" s="183">
        <v>2500</v>
      </c>
      <c r="W137" s="103" t="s">
        <v>305</v>
      </c>
      <c r="X137" s="453">
        <f>V137*200</f>
        <v>500000</v>
      </c>
      <c r="Y137" s="103"/>
      <c r="Z137" s="22"/>
      <c r="AA137" s="425"/>
      <c r="AB137" s="454">
        <v>2500</v>
      </c>
      <c r="AC137" s="455" t="s">
        <v>305</v>
      </c>
      <c r="AD137" s="456">
        <f>AB137*200</f>
        <v>500000</v>
      </c>
      <c r="AE137" s="456"/>
      <c r="AF137" s="452"/>
    </row>
    <row r="138" spans="1:32" ht="12.75">
      <c r="A138" s="22"/>
      <c r="B138" s="22"/>
      <c r="C138" s="22"/>
      <c r="D138" s="183"/>
      <c r="E138" s="103"/>
      <c r="F138" s="453"/>
      <c r="G138" s="103"/>
      <c r="H138" s="22"/>
      <c r="I138" s="425"/>
      <c r="J138" s="183"/>
      <c r="K138" s="103"/>
      <c r="L138" s="453"/>
      <c r="M138" s="103"/>
      <c r="N138" s="22"/>
      <c r="O138" s="425"/>
      <c r="P138" s="183"/>
      <c r="Q138" s="103"/>
      <c r="R138" s="453"/>
      <c r="S138" s="103"/>
      <c r="T138" s="22"/>
      <c r="U138" s="425"/>
      <c r="V138" s="183"/>
      <c r="W138" s="103"/>
      <c r="X138" s="453"/>
      <c r="Y138" s="103"/>
      <c r="Z138" s="22"/>
      <c r="AA138" s="425"/>
      <c r="AB138" s="454"/>
      <c r="AC138" s="455"/>
      <c r="AD138" s="456"/>
      <c r="AE138" s="456"/>
      <c r="AF138" s="452"/>
    </row>
    <row r="139" spans="1:32" ht="12.75">
      <c r="A139" s="22"/>
      <c r="B139" s="151"/>
      <c r="C139" s="151"/>
      <c r="D139" s="457"/>
      <c r="E139" s="458"/>
      <c r="F139" s="458"/>
      <c r="G139" s="458"/>
      <c r="H139" s="151"/>
      <c r="I139" s="459"/>
      <c r="J139" s="457"/>
      <c r="K139" s="458"/>
      <c r="L139" s="458"/>
      <c r="M139" s="458"/>
      <c r="N139" s="151"/>
      <c r="O139" s="425"/>
      <c r="P139" s="457"/>
      <c r="Q139" s="458"/>
      <c r="R139" s="458"/>
      <c r="S139" s="458"/>
      <c r="T139" s="151"/>
      <c r="U139" s="425"/>
      <c r="V139" s="457"/>
      <c r="W139" s="458"/>
      <c r="X139" s="458"/>
      <c r="Y139" s="458"/>
      <c r="Z139" s="151"/>
      <c r="AA139" s="425"/>
      <c r="AB139" s="454"/>
      <c r="AC139" s="455"/>
      <c r="AD139" s="455"/>
      <c r="AE139" s="455"/>
      <c r="AF139" s="452"/>
    </row>
    <row r="140" spans="1:32" ht="12.75">
      <c r="A140" s="22">
        <v>2</v>
      </c>
      <c r="B140" s="151" t="s">
        <v>306</v>
      </c>
      <c r="C140" s="151"/>
      <c r="D140" s="457"/>
      <c r="E140" s="460"/>
      <c r="F140" s="460"/>
      <c r="G140" s="458"/>
      <c r="H140" s="151"/>
      <c r="I140" s="459"/>
      <c r="J140" s="457"/>
      <c r="K140" s="460"/>
      <c r="L140" s="460"/>
      <c r="M140" s="458"/>
      <c r="N140" s="151"/>
      <c r="O140" s="425"/>
      <c r="P140" s="457"/>
      <c r="Q140" s="460"/>
      <c r="R140" s="460"/>
      <c r="S140" s="458"/>
      <c r="T140" s="151"/>
      <c r="U140" s="425"/>
      <c r="V140" s="457"/>
      <c r="W140" s="460"/>
      <c r="X140" s="460"/>
      <c r="Y140" s="458"/>
      <c r="Z140" s="151"/>
      <c r="AA140" s="425"/>
      <c r="AB140" s="454"/>
      <c r="AC140" s="456"/>
      <c r="AD140" s="456"/>
      <c r="AE140" s="456"/>
      <c r="AF140" s="452"/>
    </row>
    <row r="141" spans="1:32" ht="12.75">
      <c r="A141" s="22"/>
      <c r="B141" s="151"/>
      <c r="C141" s="151" t="s">
        <v>307</v>
      </c>
      <c r="D141" s="457">
        <v>3000</v>
      </c>
      <c r="E141" s="460" t="s">
        <v>308</v>
      </c>
      <c r="F141" s="460">
        <f>D141*120</f>
        <v>360000</v>
      </c>
      <c r="G141" s="458"/>
      <c r="H141" s="151"/>
      <c r="I141" s="459"/>
      <c r="J141" s="457">
        <v>3000</v>
      </c>
      <c r="K141" s="460" t="s">
        <v>308</v>
      </c>
      <c r="L141" s="460">
        <f>J141*120</f>
        <v>360000</v>
      </c>
      <c r="M141" s="458"/>
      <c r="N141" s="151"/>
      <c r="O141" s="425"/>
      <c r="P141" s="457">
        <v>2000</v>
      </c>
      <c r="Q141" s="460" t="s">
        <v>308</v>
      </c>
      <c r="R141" s="460">
        <f>P141*120</f>
        <v>240000</v>
      </c>
      <c r="S141" s="458"/>
      <c r="T141" s="151"/>
      <c r="U141" s="425"/>
      <c r="V141" s="457">
        <v>1250</v>
      </c>
      <c r="W141" s="460" t="s">
        <v>308</v>
      </c>
      <c r="X141" s="460">
        <f>V141*120</f>
        <v>150000</v>
      </c>
      <c r="Y141" s="458"/>
      <c r="Z141" s="151"/>
      <c r="AA141" s="425"/>
      <c r="AB141" s="454">
        <v>1250</v>
      </c>
      <c r="AC141" s="456" t="s">
        <v>308</v>
      </c>
      <c r="AD141" s="456">
        <f>AB141*120</f>
        <v>150000</v>
      </c>
      <c r="AE141" s="456"/>
      <c r="AF141" s="452"/>
    </row>
    <row r="142" spans="1:32" ht="12.75">
      <c r="A142" s="22"/>
      <c r="B142" s="151"/>
      <c r="C142" s="151" t="s">
        <v>309</v>
      </c>
      <c r="D142" s="457">
        <v>350</v>
      </c>
      <c r="E142" s="460">
        <v>2800</v>
      </c>
      <c r="F142" s="460">
        <f>+D142*E142</f>
        <v>980000</v>
      </c>
      <c r="G142" s="458"/>
      <c r="H142" s="151"/>
      <c r="I142" s="459"/>
      <c r="J142" s="457">
        <v>300</v>
      </c>
      <c r="K142" s="460">
        <v>2800</v>
      </c>
      <c r="L142" s="460">
        <f>+J142*K142</f>
        <v>840000</v>
      </c>
      <c r="M142" s="458"/>
      <c r="N142" s="151"/>
      <c r="O142" s="425"/>
      <c r="P142" s="457">
        <v>250</v>
      </c>
      <c r="Q142" s="460">
        <v>2800</v>
      </c>
      <c r="R142" s="460">
        <f>+P142*Q142</f>
        <v>700000</v>
      </c>
      <c r="S142" s="458"/>
      <c r="T142" s="151"/>
      <c r="U142" s="425"/>
      <c r="V142" s="457">
        <v>250</v>
      </c>
      <c r="W142" s="460">
        <v>2800</v>
      </c>
      <c r="X142" s="460">
        <f>+V142*W142</f>
        <v>700000</v>
      </c>
      <c r="Y142" s="458"/>
      <c r="Z142" s="151"/>
      <c r="AA142" s="425"/>
      <c r="AB142" s="454">
        <v>250</v>
      </c>
      <c r="AC142" s="456">
        <v>2800</v>
      </c>
      <c r="AD142" s="456">
        <f>+AB142*AC142</f>
        <v>700000</v>
      </c>
      <c r="AE142" s="456"/>
      <c r="AF142" s="452"/>
    </row>
    <row r="143" spans="1:32" ht="12.75">
      <c r="A143" s="22"/>
      <c r="B143" s="151"/>
      <c r="C143" s="151" t="s">
        <v>310</v>
      </c>
      <c r="D143" s="457"/>
      <c r="E143" s="460"/>
      <c r="F143" s="460">
        <v>440000</v>
      </c>
      <c r="G143" s="458"/>
      <c r="H143" s="151"/>
      <c r="I143" s="459"/>
      <c r="J143" s="457"/>
      <c r="K143" s="460"/>
      <c r="L143" s="460">
        <v>220000</v>
      </c>
      <c r="M143" s="458"/>
      <c r="N143" s="151"/>
      <c r="O143" s="425"/>
      <c r="P143" s="457"/>
      <c r="Q143" s="460"/>
      <c r="R143" s="460">
        <v>220000</v>
      </c>
      <c r="S143" s="458"/>
      <c r="T143" s="151"/>
      <c r="U143" s="425"/>
      <c r="V143" s="457"/>
      <c r="W143" s="460"/>
      <c r="X143" s="460">
        <v>220000</v>
      </c>
      <c r="Y143" s="458"/>
      <c r="Z143" s="151"/>
      <c r="AA143" s="425"/>
      <c r="AB143" s="454"/>
      <c r="AC143" s="456"/>
      <c r="AD143" s="456">
        <v>220000</v>
      </c>
      <c r="AE143" s="456"/>
      <c r="AF143" s="452"/>
    </row>
    <row r="144" spans="1:32" ht="12.75">
      <c r="A144" s="22"/>
      <c r="B144" s="151"/>
      <c r="C144" s="151" t="s">
        <v>311</v>
      </c>
      <c r="D144" s="457"/>
      <c r="E144" s="460"/>
      <c r="F144" s="460">
        <v>82000</v>
      </c>
      <c r="G144" s="458"/>
      <c r="H144" s="151"/>
      <c r="I144" s="459"/>
      <c r="J144" s="457"/>
      <c r="K144" s="460"/>
      <c r="L144" s="460">
        <v>82000</v>
      </c>
      <c r="M144" s="458"/>
      <c r="N144" s="151"/>
      <c r="O144" s="425"/>
      <c r="P144" s="457"/>
      <c r="Q144" s="460"/>
      <c r="R144" s="460">
        <v>82000</v>
      </c>
      <c r="S144" s="458"/>
      <c r="T144" s="151"/>
      <c r="U144" s="425"/>
      <c r="V144" s="457"/>
      <c r="W144" s="460"/>
      <c r="X144" s="460">
        <v>82000</v>
      </c>
      <c r="Y144" s="458"/>
      <c r="Z144" s="151"/>
      <c r="AA144" s="425"/>
      <c r="AB144" s="454"/>
      <c r="AC144" s="456"/>
      <c r="AD144" s="456">
        <v>82000</v>
      </c>
      <c r="AE144" s="456"/>
      <c r="AF144" s="452"/>
    </row>
    <row r="145" spans="1:32" ht="12.75">
      <c r="A145" s="22"/>
      <c r="B145" s="151"/>
      <c r="C145" s="151"/>
      <c r="D145" s="151"/>
      <c r="E145" s="460"/>
      <c r="F145" s="460"/>
      <c r="G145" s="458"/>
      <c r="H145" s="151"/>
      <c r="I145" s="459"/>
      <c r="J145" s="151"/>
      <c r="K145" s="458"/>
      <c r="L145" s="458"/>
      <c r="M145" s="458"/>
      <c r="N145" s="151"/>
      <c r="O145" s="425"/>
      <c r="P145" s="151"/>
      <c r="Q145" s="458"/>
      <c r="R145" s="458"/>
      <c r="S145" s="458"/>
      <c r="T145" s="151"/>
      <c r="U145" s="425"/>
      <c r="V145" s="151"/>
      <c r="W145" s="458"/>
      <c r="X145" s="458"/>
      <c r="Y145" s="458"/>
      <c r="Z145" s="151"/>
      <c r="AA145" s="425"/>
      <c r="AB145" s="455"/>
      <c r="AC145" s="455"/>
      <c r="AD145" s="455"/>
      <c r="AE145" s="455"/>
      <c r="AF145" s="452"/>
    </row>
    <row r="146" spans="1:32" ht="12.75">
      <c r="A146" s="22">
        <v>3</v>
      </c>
      <c r="B146" s="151" t="s">
        <v>312</v>
      </c>
      <c r="C146" s="151"/>
      <c r="D146" s="151"/>
      <c r="E146" s="460"/>
      <c r="F146" s="460">
        <v>9480000</v>
      </c>
      <c r="G146" s="458"/>
      <c r="H146" s="151"/>
      <c r="I146" s="459"/>
      <c r="J146" s="151"/>
      <c r="K146" s="460"/>
      <c r="L146" s="460">
        <v>8800000</v>
      </c>
      <c r="M146" s="461"/>
      <c r="N146" s="151"/>
      <c r="O146" s="425"/>
      <c r="P146" s="151"/>
      <c r="Q146" s="460"/>
      <c r="R146" s="460">
        <v>8210000</v>
      </c>
      <c r="S146" s="461"/>
      <c r="T146" s="151"/>
      <c r="U146" s="425"/>
      <c r="V146" s="151"/>
      <c r="W146" s="460"/>
      <c r="X146" s="460">
        <v>4000000</v>
      </c>
      <c r="Y146" s="461"/>
      <c r="Z146" s="151"/>
      <c r="AA146" s="425"/>
      <c r="AB146" s="456"/>
      <c r="AC146" s="456"/>
      <c r="AD146" s="456">
        <v>3000000</v>
      </c>
      <c r="AE146" s="456"/>
      <c r="AF146" s="452"/>
    </row>
    <row r="147" spans="1:32" ht="12.75">
      <c r="A147" s="22"/>
      <c r="B147" s="151"/>
      <c r="C147" s="151"/>
      <c r="D147" s="151"/>
      <c r="E147" s="460"/>
      <c r="F147" s="460"/>
      <c r="G147" s="458"/>
      <c r="H147" s="151"/>
      <c r="I147" s="459"/>
      <c r="J147" s="151"/>
      <c r="K147" s="460"/>
      <c r="L147" s="460"/>
      <c r="M147" s="458"/>
      <c r="N147" s="151"/>
      <c r="O147" s="425"/>
      <c r="P147" s="151"/>
      <c r="Q147" s="460"/>
      <c r="R147" s="460"/>
      <c r="S147" s="458"/>
      <c r="T147" s="151"/>
      <c r="U147" s="425"/>
      <c r="V147" s="151"/>
      <c r="W147" s="460"/>
      <c r="X147" s="460"/>
      <c r="Y147" s="458"/>
      <c r="Z147" s="151"/>
      <c r="AA147" s="425"/>
      <c r="AB147" s="456"/>
      <c r="AC147" s="456"/>
      <c r="AD147" s="456"/>
      <c r="AE147" s="456"/>
      <c r="AF147" s="452"/>
    </row>
    <row r="148" spans="1:32" ht="12.75">
      <c r="A148" s="22">
        <v>4</v>
      </c>
      <c r="B148" s="151" t="s">
        <v>356</v>
      </c>
      <c r="C148" s="151"/>
      <c r="D148" s="151"/>
      <c r="E148" s="460"/>
      <c r="F148" s="460">
        <v>60000</v>
      </c>
      <c r="G148" s="458"/>
      <c r="H148" s="151"/>
      <c r="I148" s="459"/>
      <c r="J148" s="151"/>
      <c r="K148" s="460"/>
      <c r="L148" s="460">
        <v>60000</v>
      </c>
      <c r="M148" s="458"/>
      <c r="N148" s="151"/>
      <c r="O148" s="425"/>
      <c r="P148" s="151"/>
      <c r="Q148" s="460"/>
      <c r="R148" s="460">
        <v>60000</v>
      </c>
      <c r="S148" s="458"/>
      <c r="T148" s="151"/>
      <c r="U148" s="425"/>
      <c r="V148" s="151"/>
      <c r="W148" s="460"/>
      <c r="X148" s="460">
        <v>60000</v>
      </c>
      <c r="Y148" s="458"/>
      <c r="Z148" s="151"/>
      <c r="AA148" s="425"/>
      <c r="AB148" s="456"/>
      <c r="AC148" s="456"/>
      <c r="AD148" s="456">
        <v>60000</v>
      </c>
      <c r="AE148" s="456"/>
      <c r="AF148" s="452"/>
    </row>
    <row r="149" spans="1:32" ht="12.75">
      <c r="A149" s="22"/>
      <c r="B149" s="151"/>
      <c r="C149" s="151"/>
      <c r="D149" s="151"/>
      <c r="E149" s="460"/>
      <c r="F149" s="458"/>
      <c r="G149" s="458"/>
      <c r="H149" s="151"/>
      <c r="I149" s="459"/>
      <c r="J149" s="151"/>
      <c r="K149" s="460"/>
      <c r="L149" s="458"/>
      <c r="M149" s="458"/>
      <c r="N149" s="151"/>
      <c r="O149" s="425"/>
      <c r="P149" s="151"/>
      <c r="Q149" s="460"/>
      <c r="R149" s="458"/>
      <c r="S149" s="458"/>
      <c r="T149" s="151"/>
      <c r="U149" s="425"/>
      <c r="V149" s="151"/>
      <c r="W149" s="460"/>
      <c r="X149" s="458"/>
      <c r="Y149" s="458"/>
      <c r="Z149" s="151"/>
      <c r="AA149" s="425"/>
      <c r="AB149" s="456"/>
      <c r="AC149" s="455"/>
      <c r="AD149" s="455"/>
      <c r="AE149" s="455"/>
      <c r="AF149" s="452"/>
    </row>
    <row r="150" spans="1:32" ht="12.75">
      <c r="A150" s="22">
        <v>5</v>
      </c>
      <c r="B150" s="151" t="s">
        <v>357</v>
      </c>
      <c r="C150" s="151"/>
      <c r="D150" s="151"/>
      <c r="E150" s="458"/>
      <c r="F150" s="460">
        <v>400000</v>
      </c>
      <c r="G150" s="458"/>
      <c r="H150" s="151"/>
      <c r="I150" s="459"/>
      <c r="J150" s="151"/>
      <c r="K150" s="458"/>
      <c r="L150" s="460">
        <v>400000</v>
      </c>
      <c r="M150" s="458"/>
      <c r="N150" s="151"/>
      <c r="O150" s="425"/>
      <c r="P150" s="151"/>
      <c r="Q150" s="458"/>
      <c r="R150" s="460">
        <v>400000</v>
      </c>
      <c r="S150" s="458"/>
      <c r="T150" s="151"/>
      <c r="U150" s="425"/>
      <c r="V150" s="151"/>
      <c r="W150" s="458"/>
      <c r="X150" s="460">
        <v>400000</v>
      </c>
      <c r="Y150" s="458"/>
      <c r="Z150" s="151"/>
      <c r="AA150" s="425"/>
      <c r="AB150" s="455"/>
      <c r="AC150" s="456"/>
      <c r="AD150" s="456">
        <v>400000</v>
      </c>
      <c r="AE150" s="456"/>
      <c r="AF150" s="452"/>
    </row>
    <row r="151" spans="1:32" ht="12.75">
      <c r="A151" s="22"/>
      <c r="B151" s="151"/>
      <c r="C151" s="151"/>
      <c r="D151" s="151"/>
      <c r="E151" s="458"/>
      <c r="F151" s="458"/>
      <c r="G151" s="458"/>
      <c r="H151" s="151"/>
      <c r="I151" s="459"/>
      <c r="J151" s="151"/>
      <c r="K151" s="458"/>
      <c r="L151" s="458"/>
      <c r="M151" s="458"/>
      <c r="N151" s="151"/>
      <c r="O151" s="425"/>
      <c r="P151" s="151"/>
      <c r="Q151" s="458"/>
      <c r="R151" s="458"/>
      <c r="S151" s="458"/>
      <c r="T151" s="151"/>
      <c r="U151" s="425"/>
      <c r="V151" s="151"/>
      <c r="W151" s="458"/>
      <c r="X151" s="458"/>
      <c r="Y151" s="458"/>
      <c r="Z151" s="151"/>
      <c r="AA151" s="425"/>
      <c r="AB151" s="455"/>
      <c r="AC151" s="455"/>
      <c r="AD151" s="455"/>
      <c r="AE151" s="455"/>
      <c r="AF151" s="452"/>
    </row>
    <row r="152" spans="1:32" ht="12.75">
      <c r="A152" s="22">
        <v>6</v>
      </c>
      <c r="B152" s="151" t="s">
        <v>317</v>
      </c>
      <c r="C152" s="151"/>
      <c r="D152" s="151"/>
      <c r="E152" s="458"/>
      <c r="F152" s="456">
        <f>F146*0.05</f>
        <v>474000</v>
      </c>
      <c r="G152" s="458"/>
      <c r="H152" s="151"/>
      <c r="I152" s="459"/>
      <c r="J152" s="151"/>
      <c r="K152" s="458"/>
      <c r="L152" s="456">
        <f>L146*0.05</f>
        <v>440000</v>
      </c>
      <c r="M152" s="458"/>
      <c r="N152" s="151"/>
      <c r="O152" s="425"/>
      <c r="P152" s="151"/>
      <c r="Q152" s="458"/>
      <c r="R152" s="456">
        <f>R146*0.05</f>
        <v>410500</v>
      </c>
      <c r="S152" s="455"/>
      <c r="T152" s="452"/>
      <c r="U152" s="462"/>
      <c r="V152" s="452"/>
      <c r="W152" s="455"/>
      <c r="X152" s="456">
        <f>X146*0.05</f>
        <v>200000</v>
      </c>
      <c r="Y152" s="458"/>
      <c r="Z152" s="151"/>
      <c r="AA152" s="425"/>
      <c r="AB152" s="455"/>
      <c r="AC152" s="456"/>
      <c r="AD152" s="456">
        <f>AD146*0.05</f>
        <v>150000</v>
      </c>
      <c r="AE152" s="456"/>
      <c r="AF152" s="452"/>
    </row>
    <row r="153" spans="1:32" ht="12.75">
      <c r="A153" s="22"/>
      <c r="B153" s="151"/>
      <c r="C153" s="151"/>
      <c r="D153" s="151"/>
      <c r="E153" s="458"/>
      <c r="F153" s="460"/>
      <c r="G153" s="458"/>
      <c r="H153" s="151"/>
      <c r="I153" s="459"/>
      <c r="J153" s="151"/>
      <c r="K153" s="458"/>
      <c r="L153" s="460"/>
      <c r="M153" s="458"/>
      <c r="N153" s="151"/>
      <c r="O153" s="425"/>
      <c r="P153" s="151"/>
      <c r="Q153" s="458"/>
      <c r="R153" s="456"/>
      <c r="S153" s="455"/>
      <c r="T153" s="452"/>
      <c r="U153" s="462"/>
      <c r="V153" s="452"/>
      <c r="W153" s="455"/>
      <c r="X153" s="456"/>
      <c r="Y153" s="458"/>
      <c r="Z153" s="151"/>
      <c r="AA153" s="425"/>
      <c r="AB153" s="455"/>
      <c r="AC153" s="456"/>
      <c r="AD153" s="456"/>
      <c r="AE153" s="456"/>
      <c r="AF153" s="452"/>
    </row>
    <row r="154" spans="1:32" ht="12.75">
      <c r="A154" s="151">
        <v>7</v>
      </c>
      <c r="B154" s="151" t="s">
        <v>358</v>
      </c>
      <c r="C154" s="151" t="s">
        <v>359</v>
      </c>
      <c r="D154" s="458"/>
      <c r="E154" s="460"/>
      <c r="F154" s="460">
        <v>250000</v>
      </c>
      <c r="G154" s="458"/>
      <c r="H154" s="151"/>
      <c r="I154" s="459"/>
      <c r="J154" s="458"/>
      <c r="K154" s="460"/>
      <c r="L154" s="460">
        <v>250000</v>
      </c>
      <c r="M154" s="458"/>
      <c r="N154" s="151"/>
      <c r="O154" s="425"/>
      <c r="P154" s="458"/>
      <c r="Q154" s="460"/>
      <c r="R154" s="460">
        <v>225000</v>
      </c>
      <c r="S154" s="458"/>
      <c r="T154" s="151"/>
      <c r="U154" s="425"/>
      <c r="V154" s="458"/>
      <c r="W154" s="460"/>
      <c r="X154" s="460">
        <v>150000</v>
      </c>
      <c r="Y154" s="458"/>
      <c r="Z154" s="151"/>
      <c r="AA154" s="425"/>
      <c r="AB154" s="455"/>
      <c r="AC154" s="456"/>
      <c r="AD154" s="456">
        <v>150000</v>
      </c>
      <c r="AE154" s="456"/>
      <c r="AF154" s="452"/>
    </row>
    <row r="155" spans="1:32" ht="12.75">
      <c r="A155" s="22"/>
      <c r="B155" s="151"/>
      <c r="C155" s="151"/>
      <c r="D155" s="151"/>
      <c r="E155" s="458"/>
      <c r="F155" s="458"/>
      <c r="G155" s="458"/>
      <c r="H155" s="151"/>
      <c r="I155" s="459"/>
      <c r="J155" s="151"/>
      <c r="K155" s="458"/>
      <c r="L155" s="458"/>
      <c r="M155" s="458"/>
      <c r="N155" s="151"/>
      <c r="O155" s="425"/>
      <c r="P155" s="151"/>
      <c r="Q155" s="458"/>
      <c r="R155" s="458"/>
      <c r="S155" s="458"/>
      <c r="T155" s="151"/>
      <c r="U155" s="425"/>
      <c r="V155" s="151"/>
      <c r="W155" s="458"/>
      <c r="X155" s="458"/>
      <c r="Y155" s="458"/>
      <c r="Z155" s="151"/>
      <c r="AA155" s="425"/>
      <c r="AB155" s="455"/>
      <c r="AC155" s="455"/>
      <c r="AD155" s="455"/>
      <c r="AE155" s="455"/>
      <c r="AF155" s="452"/>
    </row>
    <row r="156" spans="1:32" ht="18">
      <c r="A156" s="164"/>
      <c r="B156" s="463" t="s">
        <v>318</v>
      </c>
      <c r="C156" s="464"/>
      <c r="D156" s="464"/>
      <c r="E156" s="442"/>
      <c r="F156" s="465">
        <f>SUM(F137:F154)</f>
        <v>13926000</v>
      </c>
      <c r="G156" s="442"/>
      <c r="H156" s="464"/>
      <c r="I156" s="466"/>
      <c r="J156" s="464"/>
      <c r="K156" s="442"/>
      <c r="L156" s="465">
        <f>SUM(L137:L154)</f>
        <v>12652000</v>
      </c>
      <c r="M156" s="442"/>
      <c r="N156" s="464"/>
      <c r="O156" s="425"/>
      <c r="P156" s="464"/>
      <c r="Q156" s="442"/>
      <c r="R156" s="465">
        <f>SUM(R137:R154)</f>
        <v>11447500</v>
      </c>
      <c r="S156" s="442"/>
      <c r="T156" s="464"/>
      <c r="U156" s="425"/>
      <c r="V156" s="464"/>
      <c r="W156" s="442"/>
      <c r="X156" s="465">
        <f>SUM(X137:X154)</f>
        <v>6462000</v>
      </c>
      <c r="Y156" s="442"/>
      <c r="Z156" s="464"/>
      <c r="AA156" s="425"/>
      <c r="AB156" s="451"/>
      <c r="AC156" s="467"/>
      <c r="AD156" s="465">
        <f>SUM(AD137:AD154)</f>
        <v>5412000</v>
      </c>
      <c r="AE156" s="465"/>
      <c r="AF156" s="164"/>
    </row>
    <row r="157" spans="1:32" ht="12.75">
      <c r="A157" s="22"/>
      <c r="B157" s="151"/>
      <c r="C157" s="151"/>
      <c r="D157" s="151"/>
      <c r="E157" s="458"/>
      <c r="F157" s="458"/>
      <c r="G157" s="458"/>
      <c r="H157" s="151"/>
      <c r="I157" s="459"/>
      <c r="J157" s="151"/>
      <c r="K157" s="458"/>
      <c r="L157" s="458"/>
      <c r="M157" s="458"/>
      <c r="N157" s="151"/>
      <c r="O157" s="425"/>
      <c r="P157" s="151"/>
      <c r="Q157" s="458"/>
      <c r="R157" s="458"/>
      <c r="S157" s="458"/>
      <c r="T157" s="151"/>
      <c r="U157" s="425"/>
      <c r="V157" s="151"/>
      <c r="W157" s="458"/>
      <c r="X157" s="458"/>
      <c r="Y157" s="458"/>
      <c r="Z157" s="151"/>
      <c r="AA157" s="425"/>
      <c r="AB157" s="452"/>
      <c r="AC157" s="455"/>
      <c r="AD157" s="455"/>
      <c r="AE157" s="455"/>
      <c r="AF157" s="452"/>
    </row>
    <row r="158" spans="1:32" ht="12.75">
      <c r="A158" s="22"/>
      <c r="B158" s="151"/>
      <c r="C158" s="151"/>
      <c r="D158" s="151"/>
      <c r="E158" s="458"/>
      <c r="F158" s="458"/>
      <c r="G158" s="458"/>
      <c r="H158" s="151"/>
      <c r="I158" s="459"/>
      <c r="J158" s="151"/>
      <c r="K158" s="458"/>
      <c r="L158" s="458"/>
      <c r="M158" s="458"/>
      <c r="N158" s="151"/>
      <c r="O158" s="425"/>
      <c r="P158" s="151"/>
      <c r="Q158" s="458"/>
      <c r="R158" s="458"/>
      <c r="S158" s="458"/>
      <c r="T158" s="151"/>
      <c r="U158" s="425"/>
      <c r="V158" s="151"/>
      <c r="W158" s="458"/>
      <c r="X158" s="458"/>
      <c r="Y158" s="458"/>
      <c r="Z158" s="151"/>
      <c r="AA158" s="425"/>
      <c r="AB158" s="452"/>
      <c r="AC158" s="455"/>
      <c r="AD158" s="455"/>
      <c r="AE158" s="455"/>
      <c r="AF158" s="452"/>
    </row>
    <row r="159" spans="2:32" ht="18">
      <c r="B159" s="429" t="s">
        <v>497</v>
      </c>
      <c r="C159" s="464"/>
      <c r="D159" s="464"/>
      <c r="E159" s="442"/>
      <c r="F159" s="468" t="s">
        <v>319</v>
      </c>
      <c r="G159" s="469"/>
      <c r="H159" s="464"/>
      <c r="I159" s="466"/>
      <c r="J159" s="464"/>
      <c r="K159" s="442"/>
      <c r="L159" s="468" t="s">
        <v>319</v>
      </c>
      <c r="M159" s="469"/>
      <c r="N159" s="464"/>
      <c r="O159" s="425"/>
      <c r="P159" s="464"/>
      <c r="Q159" s="442"/>
      <c r="R159" s="468" t="s">
        <v>319</v>
      </c>
      <c r="S159" s="469"/>
      <c r="T159" s="464"/>
      <c r="U159" s="425"/>
      <c r="V159" s="464"/>
      <c r="W159" s="442"/>
      <c r="X159" s="468" t="s">
        <v>319</v>
      </c>
      <c r="Y159" s="469"/>
      <c r="Z159" s="464"/>
      <c r="AA159" s="425"/>
      <c r="AB159" s="164"/>
      <c r="AC159" s="451"/>
      <c r="AD159" s="468" t="s">
        <v>319</v>
      </c>
      <c r="AE159" s="469"/>
      <c r="AF159" s="164"/>
    </row>
    <row r="160" spans="1:32" ht="12.75">
      <c r="A160" s="22"/>
      <c r="B160" s="151"/>
      <c r="C160" s="151"/>
      <c r="D160" s="151"/>
      <c r="E160" s="458"/>
      <c r="F160" s="451" t="s">
        <v>302</v>
      </c>
      <c r="G160" s="470" t="s">
        <v>320</v>
      </c>
      <c r="H160" s="151"/>
      <c r="I160" s="459"/>
      <c r="J160" s="151"/>
      <c r="K160" s="458"/>
      <c r="L160" s="451" t="s">
        <v>302</v>
      </c>
      <c r="M160" s="470" t="s">
        <v>320</v>
      </c>
      <c r="N160" s="151"/>
      <c r="O160" s="425"/>
      <c r="P160" s="151"/>
      <c r="Q160" s="458"/>
      <c r="R160" s="451" t="s">
        <v>302</v>
      </c>
      <c r="S160" s="470" t="s">
        <v>320</v>
      </c>
      <c r="T160" s="151"/>
      <c r="U160" s="425"/>
      <c r="V160" s="151"/>
      <c r="W160" s="458"/>
      <c r="X160" s="451" t="s">
        <v>302</v>
      </c>
      <c r="Y160" s="470" t="s">
        <v>320</v>
      </c>
      <c r="Z160" s="151"/>
      <c r="AA160" s="425"/>
      <c r="AB160" s="452"/>
      <c r="AC160" s="455"/>
      <c r="AD160" s="451" t="s">
        <v>302</v>
      </c>
      <c r="AE160" s="470" t="s">
        <v>320</v>
      </c>
      <c r="AF160" s="452"/>
    </row>
    <row r="161" spans="1:32" ht="12.75">
      <c r="A161" s="22">
        <v>8</v>
      </c>
      <c r="B161" s="151" t="s">
        <v>156</v>
      </c>
      <c r="C161" s="151" t="s">
        <v>360</v>
      </c>
      <c r="D161" s="458"/>
      <c r="E161" s="458">
        <v>80</v>
      </c>
      <c r="F161" s="460">
        <f>+E161*G161*F128*F129*12</f>
        <v>119808</v>
      </c>
      <c r="G161" s="471">
        <v>0.2</v>
      </c>
      <c r="H161" s="151" t="s">
        <v>327</v>
      </c>
      <c r="I161" s="459"/>
      <c r="J161" s="458"/>
      <c r="K161" s="458">
        <v>60</v>
      </c>
      <c r="L161" s="460">
        <f>+K161*M161*L128*L129*12</f>
        <v>89856</v>
      </c>
      <c r="M161" s="471">
        <v>0.2</v>
      </c>
      <c r="N161" s="151" t="s">
        <v>327</v>
      </c>
      <c r="O161" s="425"/>
      <c r="P161" s="458"/>
      <c r="Q161" s="458">
        <v>40</v>
      </c>
      <c r="R161" s="460">
        <f>+Q161*S161*R128*R129*12</f>
        <v>59904</v>
      </c>
      <c r="S161" s="471">
        <v>0.2</v>
      </c>
      <c r="T161" s="151" t="s">
        <v>327</v>
      </c>
      <c r="U161" s="425"/>
      <c r="V161" s="458"/>
      <c r="W161" s="458">
        <v>20</v>
      </c>
      <c r="X161" s="460">
        <f>+W161*Y161*X128*X129*12</f>
        <v>29952</v>
      </c>
      <c r="Y161" s="471">
        <v>0.2</v>
      </c>
      <c r="Z161" s="151" t="s">
        <v>327</v>
      </c>
      <c r="AA161" s="425"/>
      <c r="AB161" s="452"/>
      <c r="AC161" s="455">
        <v>10</v>
      </c>
      <c r="AD161" s="456">
        <f>+AC161*AE161*AD128*AD129*12</f>
        <v>14976</v>
      </c>
      <c r="AE161" s="472">
        <v>0.2</v>
      </c>
      <c r="AF161" s="452" t="s">
        <v>327</v>
      </c>
    </row>
    <row r="162" spans="1:32" ht="12.75">
      <c r="A162" s="22"/>
      <c r="B162" s="151"/>
      <c r="C162" s="151" t="s">
        <v>361</v>
      </c>
      <c r="D162" s="151"/>
      <c r="E162" s="458">
        <v>470</v>
      </c>
      <c r="F162" s="460">
        <f>E162*G162*F127*F129*12</f>
        <v>27714.96</v>
      </c>
      <c r="G162" s="473">
        <v>0.007</v>
      </c>
      <c r="H162" s="151" t="s">
        <v>362</v>
      </c>
      <c r="I162" s="459"/>
      <c r="J162" s="151"/>
      <c r="K162" s="458">
        <v>370</v>
      </c>
      <c r="L162" s="460">
        <f>K162*M162*L127*L129*12</f>
        <v>21818.159999999996</v>
      </c>
      <c r="M162" s="473">
        <v>0.007</v>
      </c>
      <c r="N162" s="151" t="s">
        <v>362</v>
      </c>
      <c r="O162" s="425"/>
      <c r="P162" s="151"/>
      <c r="Q162" s="458">
        <v>300</v>
      </c>
      <c r="R162" s="460">
        <f>Q162*S162*R127*R129*12</f>
        <v>17690.4</v>
      </c>
      <c r="S162" s="473">
        <v>0.007</v>
      </c>
      <c r="T162" s="151" t="s">
        <v>362</v>
      </c>
      <c r="U162" s="425"/>
      <c r="V162" s="151"/>
      <c r="W162" s="458">
        <v>180</v>
      </c>
      <c r="X162" s="460">
        <f>W162*Y162*X127*X129*12</f>
        <v>10614.240000000002</v>
      </c>
      <c r="Y162" s="473">
        <v>0.007</v>
      </c>
      <c r="Z162" s="151" t="s">
        <v>362</v>
      </c>
      <c r="AA162" s="425"/>
      <c r="AB162" s="452"/>
      <c r="AC162" s="455">
        <v>110</v>
      </c>
      <c r="AD162" s="456">
        <f>AC162*AE162*AD127*AD129*12</f>
        <v>6486.48</v>
      </c>
      <c r="AE162" s="474">
        <v>0.007</v>
      </c>
      <c r="AF162" s="452" t="s">
        <v>362</v>
      </c>
    </row>
    <row r="163" spans="1:32" ht="12.75">
      <c r="A163" s="22"/>
      <c r="B163" s="151"/>
      <c r="C163" s="475" t="s">
        <v>363</v>
      </c>
      <c r="D163" s="151"/>
      <c r="E163" s="476">
        <f>0.36*F126</f>
        <v>640.0799999999999</v>
      </c>
      <c r="F163" s="460">
        <f>E163*G163*F127*F129*12/1000</f>
        <v>0</v>
      </c>
      <c r="G163" s="477">
        <v>0</v>
      </c>
      <c r="H163" s="151" t="s">
        <v>337</v>
      </c>
      <c r="I163" s="459"/>
      <c r="J163" s="151"/>
      <c r="K163" s="476">
        <f>0.36*L126</f>
        <v>480.24</v>
      </c>
      <c r="L163" s="460">
        <f>K163*M163*L127*L129*12/1000</f>
        <v>0</v>
      </c>
      <c r="M163" s="477">
        <v>0</v>
      </c>
      <c r="N163" s="151" t="s">
        <v>337</v>
      </c>
      <c r="O163" s="425"/>
      <c r="P163" s="151"/>
      <c r="Q163" s="476">
        <f>0.36*R126</f>
        <v>320.03999999999996</v>
      </c>
      <c r="R163" s="460">
        <f>Q163*S163*R127*R129*12/1000</f>
        <v>0</v>
      </c>
      <c r="S163" s="477">
        <v>0</v>
      </c>
      <c r="T163" s="151" t="s">
        <v>337</v>
      </c>
      <c r="U163" s="425"/>
      <c r="V163" s="151"/>
      <c r="W163" s="476">
        <f>0.36*X126</f>
        <v>79.92</v>
      </c>
      <c r="X163" s="460">
        <f>W163*Y163*X127*X129*12/1000</f>
        <v>0</v>
      </c>
      <c r="Y163" s="477">
        <v>0</v>
      </c>
      <c r="Z163" s="151" t="s">
        <v>337</v>
      </c>
      <c r="AA163" s="425"/>
      <c r="AB163" s="478"/>
      <c r="AC163" s="479">
        <v>32.4</v>
      </c>
      <c r="AD163" s="456">
        <f>AC163*AE163*AD127*AD129*12/1000</f>
        <v>0</v>
      </c>
      <c r="AE163" s="480">
        <v>0</v>
      </c>
      <c r="AF163" s="452" t="s">
        <v>337</v>
      </c>
    </row>
    <row r="164" spans="1:32" ht="12.75">
      <c r="A164" s="22"/>
      <c r="B164" s="151"/>
      <c r="C164" s="151" t="s">
        <v>364</v>
      </c>
      <c r="D164" s="151"/>
      <c r="E164" s="481">
        <v>0.05</v>
      </c>
      <c r="F164" s="460">
        <f>F146*E164</f>
        <v>474000</v>
      </c>
      <c r="G164" s="458"/>
      <c r="H164" s="151"/>
      <c r="I164" s="459"/>
      <c r="J164" s="151"/>
      <c r="K164" s="481">
        <v>0.05</v>
      </c>
      <c r="L164" s="460">
        <f>L146*K164</f>
        <v>440000</v>
      </c>
      <c r="M164" s="458"/>
      <c r="N164" s="151"/>
      <c r="O164" s="425"/>
      <c r="P164" s="151"/>
      <c r="Q164" s="481">
        <v>0.05</v>
      </c>
      <c r="R164" s="460">
        <f>R146*Q164</f>
        <v>410500</v>
      </c>
      <c r="S164" s="458"/>
      <c r="T164" s="151"/>
      <c r="U164" s="425"/>
      <c r="V164" s="151"/>
      <c r="W164" s="481">
        <v>0.05</v>
      </c>
      <c r="X164" s="460">
        <f>X146*W164</f>
        <v>200000</v>
      </c>
      <c r="Y164" s="458"/>
      <c r="Z164" s="151"/>
      <c r="AA164" s="425"/>
      <c r="AB164" s="452"/>
      <c r="AC164" s="482">
        <v>0.05</v>
      </c>
      <c r="AD164" s="456">
        <f>AD146*AC164</f>
        <v>150000</v>
      </c>
      <c r="AE164" s="455"/>
      <c r="AF164" s="452"/>
    </row>
    <row r="165" spans="1:32" ht="12.75">
      <c r="A165" s="22"/>
      <c r="B165" s="151"/>
      <c r="C165" s="151"/>
      <c r="D165" s="151"/>
      <c r="E165" s="458"/>
      <c r="F165" s="458"/>
      <c r="G165" s="458"/>
      <c r="H165" s="151"/>
      <c r="I165" s="459"/>
      <c r="J165" s="151"/>
      <c r="K165" s="458"/>
      <c r="L165" s="458"/>
      <c r="M165" s="458"/>
      <c r="N165" s="151"/>
      <c r="O165" s="425"/>
      <c r="P165" s="151"/>
      <c r="Q165" s="458"/>
      <c r="R165" s="458"/>
      <c r="S165" s="458"/>
      <c r="T165" s="151"/>
      <c r="U165" s="425"/>
      <c r="V165" s="151"/>
      <c r="W165" s="458"/>
      <c r="X165" s="458"/>
      <c r="Y165" s="458"/>
      <c r="Z165" s="151"/>
      <c r="AA165" s="425"/>
      <c r="AB165" s="452"/>
      <c r="AC165" s="455"/>
      <c r="AD165" s="455"/>
      <c r="AE165" s="455"/>
      <c r="AF165" s="452"/>
    </row>
    <row r="166" spans="1:32" ht="12.75">
      <c r="A166" s="151">
        <v>9</v>
      </c>
      <c r="B166" s="151" t="s">
        <v>358</v>
      </c>
      <c r="C166" s="151" t="s">
        <v>365</v>
      </c>
      <c r="D166" s="151"/>
      <c r="E166" s="483">
        <f>ROUNDUP(720/900,1)</f>
        <v>0.8</v>
      </c>
      <c r="F166" s="458"/>
      <c r="G166" s="151"/>
      <c r="H166" s="151"/>
      <c r="I166" s="459"/>
      <c r="J166" s="151"/>
      <c r="K166" s="483">
        <f>ROUNDUP(540/900,1)</f>
        <v>0.6</v>
      </c>
      <c r="L166" s="458"/>
      <c r="M166" s="151"/>
      <c r="N166" s="151"/>
      <c r="O166" s="425"/>
      <c r="P166" s="151"/>
      <c r="Q166" s="483">
        <f>ROUNDUP(360/600,1)</f>
        <v>0.6</v>
      </c>
      <c r="R166" s="458"/>
      <c r="S166" s="151"/>
      <c r="T166" s="151"/>
      <c r="U166" s="425"/>
      <c r="V166" s="151"/>
      <c r="W166" s="483">
        <f>ROUNDUP(90/250,1)</f>
        <v>0.4</v>
      </c>
      <c r="X166" s="458"/>
      <c r="Y166" s="151"/>
      <c r="Z166" s="151"/>
      <c r="AA166" s="425"/>
      <c r="AB166" s="452"/>
      <c r="AC166" s="484">
        <f>ROUNDUP(40/250,1)</f>
        <v>0.2</v>
      </c>
      <c r="AD166" s="455"/>
      <c r="AE166" s="452"/>
      <c r="AF166" s="452"/>
    </row>
    <row r="167" spans="1:32" ht="12.75">
      <c r="A167" s="485"/>
      <c r="B167" s="151"/>
      <c r="C167" s="151" t="s">
        <v>366</v>
      </c>
      <c r="D167" s="151"/>
      <c r="E167" s="458">
        <v>3</v>
      </c>
      <c r="F167" s="460">
        <f>+E167*E166*G167*F128*F129*12</f>
        <v>3594.240000000001</v>
      </c>
      <c r="G167" s="486">
        <v>0.2</v>
      </c>
      <c r="H167" s="151"/>
      <c r="I167" s="459"/>
      <c r="J167" s="151"/>
      <c r="K167" s="458">
        <v>3</v>
      </c>
      <c r="L167" s="460">
        <f>+K167*K166*M167*L128*L129*12</f>
        <v>2695.6800000000003</v>
      </c>
      <c r="M167" s="486">
        <v>0.2</v>
      </c>
      <c r="N167" s="151"/>
      <c r="O167" s="425"/>
      <c r="P167" s="151"/>
      <c r="Q167" s="458">
        <v>2.4</v>
      </c>
      <c r="R167" s="460">
        <f>+Q167*Q166*S167*R128*R129*12</f>
        <v>2156.544</v>
      </c>
      <c r="S167" s="486">
        <v>0.2</v>
      </c>
      <c r="T167" s="151"/>
      <c r="U167" s="425"/>
      <c r="V167" s="151"/>
      <c r="W167" s="458">
        <v>1.8</v>
      </c>
      <c r="X167" s="460">
        <f>+W167*W166*Y167*X128*X129*12</f>
        <v>1078.2720000000002</v>
      </c>
      <c r="Y167" s="486">
        <v>0.2</v>
      </c>
      <c r="Z167" s="151"/>
      <c r="AA167" s="425"/>
      <c r="AB167" s="452"/>
      <c r="AC167" s="455">
        <v>1.8</v>
      </c>
      <c r="AD167" s="456">
        <f>+AC167*AC166*AE167*AD128*AD129*12</f>
        <v>539.1360000000001</v>
      </c>
      <c r="AE167" s="487">
        <v>0.2</v>
      </c>
      <c r="AF167" s="452"/>
    </row>
    <row r="168" spans="1:32" ht="12.75">
      <c r="A168" s="485"/>
      <c r="B168" s="151"/>
      <c r="C168" s="151" t="s">
        <v>367</v>
      </c>
      <c r="D168" s="151"/>
      <c r="E168" s="458">
        <v>160</v>
      </c>
      <c r="F168" s="460">
        <f>+E168/63*G168*E166*F128*F129*12</f>
        <v>471625.14285714284</v>
      </c>
      <c r="G168" s="486">
        <v>31</v>
      </c>
      <c r="H168" s="151" t="s">
        <v>324</v>
      </c>
      <c r="I168" s="459"/>
      <c r="J168" s="151"/>
      <c r="K168" s="458">
        <v>160</v>
      </c>
      <c r="L168" s="460">
        <f>+K168/63*M168*K166*L128*L129*12</f>
        <v>353718.8571428571</v>
      </c>
      <c r="M168" s="486">
        <v>31</v>
      </c>
      <c r="N168" s="151" t="s">
        <v>324</v>
      </c>
      <c r="O168" s="425"/>
      <c r="P168" s="151"/>
      <c r="Q168" s="458">
        <v>105</v>
      </c>
      <c r="R168" s="460">
        <f>+Q168/63*S168*Q166*R128*R129*12</f>
        <v>232128</v>
      </c>
      <c r="S168" s="486">
        <v>31</v>
      </c>
      <c r="T168" s="151" t="s">
        <v>324</v>
      </c>
      <c r="U168" s="425"/>
      <c r="V168" s="151"/>
      <c r="W168" s="458">
        <v>45</v>
      </c>
      <c r="X168" s="460">
        <f>+W168/63*Y168*W166*X128*X129*12</f>
        <v>66322.28571428571</v>
      </c>
      <c r="Y168" s="486">
        <v>31</v>
      </c>
      <c r="Z168" s="151" t="s">
        <v>324</v>
      </c>
      <c r="AA168" s="425"/>
      <c r="AB168" s="452"/>
      <c r="AC168" s="455">
        <v>45</v>
      </c>
      <c r="AD168" s="456">
        <f>+AC168/63*AE168*AC166*AD128*AD129*12</f>
        <v>33161.142857142855</v>
      </c>
      <c r="AE168" s="487">
        <v>31</v>
      </c>
      <c r="AF168" s="452" t="s">
        <v>324</v>
      </c>
    </row>
    <row r="169" spans="1:32" ht="12.75">
      <c r="A169" s="485"/>
      <c r="B169" s="151"/>
      <c r="C169" s="151" t="s">
        <v>368</v>
      </c>
      <c r="D169" s="151"/>
      <c r="E169" s="458">
        <v>990</v>
      </c>
      <c r="F169" s="460">
        <f>+E169*E166*G169*F128*F129*12</f>
        <v>41513.472</v>
      </c>
      <c r="G169" s="486">
        <v>0.007</v>
      </c>
      <c r="H169" s="148" t="s">
        <v>321</v>
      </c>
      <c r="I169" s="459"/>
      <c r="J169" s="151"/>
      <c r="K169" s="458">
        <v>990</v>
      </c>
      <c r="L169" s="460">
        <f>+K169*K166*M169*L128*L129*12</f>
        <v>31135.104</v>
      </c>
      <c r="M169" s="486">
        <v>0.007</v>
      </c>
      <c r="N169" s="151"/>
      <c r="O169" s="425"/>
      <c r="P169" s="151"/>
      <c r="Q169" s="458">
        <v>660</v>
      </c>
      <c r="R169" s="460">
        <f>+Q169*Q166*S169*R128*R129*12</f>
        <v>20756.736</v>
      </c>
      <c r="S169" s="486">
        <v>0.007</v>
      </c>
      <c r="T169" s="151"/>
      <c r="U169" s="425"/>
      <c r="V169" s="151"/>
      <c r="W169" s="458">
        <v>275</v>
      </c>
      <c r="X169" s="460">
        <f>+W169*W166*Y169*X128*X129*12</f>
        <v>5765.76</v>
      </c>
      <c r="Y169" s="486">
        <v>0.007</v>
      </c>
      <c r="Z169" s="151"/>
      <c r="AA169" s="425"/>
      <c r="AB169" s="452"/>
      <c r="AC169" s="455">
        <v>275</v>
      </c>
      <c r="AD169" s="456">
        <f>+AC169*AC166*AE169*AD128*AD129*12</f>
        <v>2882.88</v>
      </c>
      <c r="AE169" s="487">
        <v>0.007</v>
      </c>
      <c r="AF169" s="452"/>
    </row>
    <row r="170" spans="1:32" ht="12.75">
      <c r="A170" s="22"/>
      <c r="B170" s="151"/>
      <c r="C170" s="151"/>
      <c r="D170" s="151"/>
      <c r="E170" s="458"/>
      <c r="F170" s="458"/>
      <c r="G170" s="486"/>
      <c r="H170" s="151"/>
      <c r="I170" s="459"/>
      <c r="J170" s="151"/>
      <c r="K170" s="458"/>
      <c r="L170" s="458"/>
      <c r="M170" s="486"/>
      <c r="N170" s="151"/>
      <c r="O170" s="425"/>
      <c r="P170" s="151"/>
      <c r="Q170" s="458"/>
      <c r="R170" s="458"/>
      <c r="S170" s="486"/>
      <c r="T170" s="151"/>
      <c r="U170" s="425"/>
      <c r="V170" s="151"/>
      <c r="W170" s="458"/>
      <c r="X170" s="458"/>
      <c r="Y170" s="486"/>
      <c r="Z170" s="151"/>
      <c r="AA170" s="425"/>
      <c r="AB170" s="452"/>
      <c r="AC170" s="455"/>
      <c r="AD170" s="455"/>
      <c r="AE170" s="487"/>
      <c r="AF170" s="452"/>
    </row>
    <row r="171" spans="1:32" ht="12.75">
      <c r="A171" s="22">
        <v>10</v>
      </c>
      <c r="B171" s="151" t="s">
        <v>334</v>
      </c>
      <c r="C171" s="151" t="s">
        <v>364</v>
      </c>
      <c r="D171" s="151"/>
      <c r="E171" s="481">
        <v>0.1</v>
      </c>
      <c r="F171" s="460">
        <f>F152*E171</f>
        <v>47400</v>
      </c>
      <c r="G171" s="486"/>
      <c r="H171" s="151"/>
      <c r="I171" s="459"/>
      <c r="J171" s="151"/>
      <c r="K171" s="481">
        <v>0.1</v>
      </c>
      <c r="L171" s="460">
        <f>L152*K171</f>
        <v>44000</v>
      </c>
      <c r="M171" s="486"/>
      <c r="N171" s="151"/>
      <c r="O171" s="425"/>
      <c r="P171" s="151"/>
      <c r="Q171" s="481">
        <v>0.1</v>
      </c>
      <c r="R171" s="460">
        <f>R152*Q171</f>
        <v>41050</v>
      </c>
      <c r="S171" s="486"/>
      <c r="T171" s="151"/>
      <c r="U171" s="425"/>
      <c r="V171" s="151"/>
      <c r="W171" s="481">
        <v>0.1</v>
      </c>
      <c r="X171" s="460">
        <f>X152*W171</f>
        <v>20000</v>
      </c>
      <c r="Y171" s="486"/>
      <c r="Z171" s="151"/>
      <c r="AA171" s="425"/>
      <c r="AB171" s="452"/>
      <c r="AC171" s="482">
        <v>0.1</v>
      </c>
      <c r="AD171" s="456">
        <f>+AD152*AC171</f>
        <v>15000</v>
      </c>
      <c r="AE171" s="487"/>
      <c r="AF171" s="452"/>
    </row>
    <row r="172" spans="1:32" ht="12.75">
      <c r="A172" s="151">
        <v>11</v>
      </c>
      <c r="B172" s="151" t="s">
        <v>358</v>
      </c>
      <c r="C172" s="151" t="s">
        <v>364</v>
      </c>
      <c r="D172" s="483"/>
      <c r="E172" s="481">
        <v>0.1</v>
      </c>
      <c r="F172" s="460">
        <f>+F154*E172</f>
        <v>25000</v>
      </c>
      <c r="G172" s="486"/>
      <c r="H172" s="151"/>
      <c r="I172" s="459"/>
      <c r="J172" s="483"/>
      <c r="K172" s="481">
        <v>0.1</v>
      </c>
      <c r="L172" s="460">
        <f>+L154*K172</f>
        <v>25000</v>
      </c>
      <c r="M172" s="486"/>
      <c r="N172" s="151"/>
      <c r="O172" s="425"/>
      <c r="P172" s="483"/>
      <c r="Q172" s="481">
        <v>0.1</v>
      </c>
      <c r="R172" s="460">
        <f>+R154*Q172</f>
        <v>22500</v>
      </c>
      <c r="S172" s="486"/>
      <c r="T172" s="151"/>
      <c r="U172" s="425"/>
      <c r="V172" s="483"/>
      <c r="W172" s="481">
        <v>0.1</v>
      </c>
      <c r="X172" s="460">
        <f>+X154*W172</f>
        <v>15000</v>
      </c>
      <c r="Y172" s="486"/>
      <c r="Z172" s="151"/>
      <c r="AA172" s="425"/>
      <c r="AB172" s="452"/>
      <c r="AC172" s="482">
        <v>0.1</v>
      </c>
      <c r="AD172" s="456">
        <f>+AD154*AC172</f>
        <v>15000</v>
      </c>
      <c r="AE172" s="487"/>
      <c r="AF172" s="452"/>
    </row>
    <row r="173" spans="1:32" ht="12.75">
      <c r="A173" s="485"/>
      <c r="B173" s="151"/>
      <c r="C173" s="151"/>
      <c r="D173" s="483"/>
      <c r="E173" s="458"/>
      <c r="F173" s="458"/>
      <c r="G173" s="486"/>
      <c r="H173" s="151"/>
      <c r="I173" s="459"/>
      <c r="J173" s="483"/>
      <c r="K173" s="458"/>
      <c r="L173" s="458"/>
      <c r="M173" s="486"/>
      <c r="N173" s="151"/>
      <c r="O173" s="425"/>
      <c r="P173" s="483"/>
      <c r="Q173" s="458"/>
      <c r="R173" s="458"/>
      <c r="S173" s="486"/>
      <c r="T173" s="151"/>
      <c r="U173" s="425"/>
      <c r="V173" s="483"/>
      <c r="W173" s="458"/>
      <c r="X173" s="458"/>
      <c r="Y173" s="486"/>
      <c r="Z173" s="151"/>
      <c r="AA173" s="425"/>
      <c r="AB173" s="452"/>
      <c r="AC173" s="482"/>
      <c r="AD173" s="455"/>
      <c r="AE173" s="487"/>
      <c r="AF173" s="452"/>
    </row>
    <row r="174" spans="1:32" ht="12.75">
      <c r="A174" s="22">
        <v>12</v>
      </c>
      <c r="B174" s="148" t="s">
        <v>369</v>
      </c>
      <c r="C174" s="151"/>
      <c r="D174" s="151"/>
      <c r="E174" s="482">
        <v>1</v>
      </c>
      <c r="F174" s="460">
        <f>F131*E174*G174</f>
        <v>1282105.8431999998</v>
      </c>
      <c r="G174" s="486">
        <v>85.6</v>
      </c>
      <c r="H174" s="151" t="s">
        <v>337</v>
      </c>
      <c r="I174" s="459"/>
      <c r="J174" s="151"/>
      <c r="K174" s="482">
        <v>1</v>
      </c>
      <c r="L174" s="456">
        <f>L131*K174*M174</f>
        <v>961939.9296000001</v>
      </c>
      <c r="M174" s="487">
        <v>85.6</v>
      </c>
      <c r="N174" s="151" t="s">
        <v>337</v>
      </c>
      <c r="O174" s="425"/>
      <c r="P174" s="151"/>
      <c r="Q174" s="482">
        <v>1</v>
      </c>
      <c r="R174" s="456">
        <f>R131*Q174*S174</f>
        <v>641052.9215999999</v>
      </c>
      <c r="S174" s="487">
        <v>85.6</v>
      </c>
      <c r="T174" s="452" t="s">
        <v>337</v>
      </c>
      <c r="U174" s="462"/>
      <c r="V174" s="452"/>
      <c r="W174" s="482">
        <v>1</v>
      </c>
      <c r="X174" s="456">
        <f>X131*W174*Y174</f>
        <v>160082.95679999999</v>
      </c>
      <c r="Y174" s="487">
        <v>85.6</v>
      </c>
      <c r="Z174" s="151" t="s">
        <v>337</v>
      </c>
      <c r="AA174" s="425"/>
      <c r="AB174" s="452"/>
      <c r="AC174" s="482">
        <v>1</v>
      </c>
      <c r="AD174" s="456">
        <f>AD131*AC174*AE174</f>
        <v>64177.4016</v>
      </c>
      <c r="AE174" s="487">
        <v>85.6</v>
      </c>
      <c r="AF174" s="452" t="s">
        <v>337</v>
      </c>
    </row>
    <row r="175" spans="1:32" ht="12.75">
      <c r="A175" s="22"/>
      <c r="B175" s="151"/>
      <c r="C175" s="151"/>
      <c r="D175" s="151"/>
      <c r="E175" s="458" t="s">
        <v>370</v>
      </c>
      <c r="F175" s="460">
        <f>F131*G175/6</f>
        <v>1497787.2</v>
      </c>
      <c r="G175" s="486">
        <v>600</v>
      </c>
      <c r="H175" s="151" t="s">
        <v>339</v>
      </c>
      <c r="I175" s="459"/>
      <c r="J175" s="151"/>
      <c r="K175" s="455" t="s">
        <v>370</v>
      </c>
      <c r="L175" s="456">
        <f>L131*M175/6</f>
        <v>1123761.6000000003</v>
      </c>
      <c r="M175" s="487">
        <v>600</v>
      </c>
      <c r="N175" s="151" t="s">
        <v>339</v>
      </c>
      <c r="O175" s="425"/>
      <c r="P175" s="151"/>
      <c r="Q175" s="455" t="s">
        <v>370</v>
      </c>
      <c r="R175" s="456">
        <f>R131*S175/6</f>
        <v>748893.6</v>
      </c>
      <c r="S175" s="487">
        <v>600</v>
      </c>
      <c r="T175" s="452" t="s">
        <v>339</v>
      </c>
      <c r="U175" s="462"/>
      <c r="V175" s="452"/>
      <c r="W175" s="455" t="s">
        <v>370</v>
      </c>
      <c r="X175" s="456">
        <f>X131*Y175/6</f>
        <v>187012.80000000002</v>
      </c>
      <c r="Y175" s="487">
        <v>600</v>
      </c>
      <c r="Z175" s="151" t="s">
        <v>339</v>
      </c>
      <c r="AA175" s="425"/>
      <c r="AB175" s="452"/>
      <c r="AC175" s="455" t="s">
        <v>370</v>
      </c>
      <c r="AD175" s="456">
        <f>AD131*AE175/6</f>
        <v>74973.59999999999</v>
      </c>
      <c r="AE175" s="487">
        <v>600</v>
      </c>
      <c r="AF175" s="452" t="s">
        <v>339</v>
      </c>
    </row>
    <row r="176" spans="1:32" ht="12.75">
      <c r="A176" s="22"/>
      <c r="B176" s="151"/>
      <c r="C176" s="151"/>
      <c r="D176" s="151"/>
      <c r="E176" s="458"/>
      <c r="F176" s="460"/>
      <c r="G176" s="486"/>
      <c r="H176" s="151"/>
      <c r="I176" s="459"/>
      <c r="J176" s="151"/>
      <c r="K176" s="455"/>
      <c r="L176" s="456"/>
      <c r="M176" s="487"/>
      <c r="N176" s="151"/>
      <c r="O176" s="425"/>
      <c r="P176" s="151"/>
      <c r="Q176" s="455"/>
      <c r="R176" s="456"/>
      <c r="S176" s="487"/>
      <c r="T176" s="452"/>
      <c r="U176" s="462"/>
      <c r="V176" s="452"/>
      <c r="W176" s="455"/>
      <c r="X176" s="456"/>
      <c r="Y176" s="487"/>
      <c r="Z176" s="151"/>
      <c r="AA176" s="425"/>
      <c r="AB176" s="452"/>
      <c r="AC176" s="455"/>
      <c r="AD176" s="456"/>
      <c r="AE176" s="487"/>
      <c r="AF176" s="452"/>
    </row>
    <row r="177" spans="1:32" ht="12.75">
      <c r="A177" s="22">
        <v>13</v>
      </c>
      <c r="B177" s="151" t="s">
        <v>371</v>
      </c>
      <c r="C177" s="151"/>
      <c r="D177" s="151"/>
      <c r="E177" s="488"/>
      <c r="F177" s="460"/>
      <c r="G177" s="486"/>
      <c r="H177" s="151"/>
      <c r="I177" s="459"/>
      <c r="J177" s="151"/>
      <c r="K177" s="489"/>
      <c r="L177" s="456"/>
      <c r="M177" s="487"/>
      <c r="N177" s="151"/>
      <c r="O177" s="425"/>
      <c r="P177" s="151"/>
      <c r="Q177" s="489"/>
      <c r="R177" s="456"/>
      <c r="S177" s="487"/>
      <c r="T177" s="452"/>
      <c r="U177" s="462"/>
      <c r="V177" s="452"/>
      <c r="W177" s="489"/>
      <c r="X177" s="456"/>
      <c r="Y177" s="487"/>
      <c r="Z177" s="151"/>
      <c r="AA177" s="425"/>
      <c r="AB177" s="452"/>
      <c r="AC177" s="489"/>
      <c r="AD177" s="456"/>
      <c r="AE177" s="487"/>
      <c r="AF177" s="452"/>
    </row>
    <row r="178" spans="1:32" ht="12.75">
      <c r="A178" s="22"/>
      <c r="B178" s="151"/>
      <c r="C178" s="151" t="s">
        <v>372</v>
      </c>
      <c r="D178" s="151"/>
      <c r="E178" s="490">
        <v>0.025</v>
      </c>
      <c r="F178" s="460">
        <f>F131*E178*G178</f>
        <v>374446.8</v>
      </c>
      <c r="G178" s="486">
        <v>1000</v>
      </c>
      <c r="H178" s="151" t="s">
        <v>337</v>
      </c>
      <c r="I178" s="459"/>
      <c r="J178" s="151"/>
      <c r="K178" s="491">
        <v>0.025</v>
      </c>
      <c r="L178" s="456">
        <f>L131*K178*M178</f>
        <v>280940.4000000001</v>
      </c>
      <c r="M178" s="487">
        <v>1000</v>
      </c>
      <c r="N178" s="151" t="s">
        <v>337</v>
      </c>
      <c r="O178" s="425"/>
      <c r="P178" s="151"/>
      <c r="Q178" s="491">
        <v>0.025</v>
      </c>
      <c r="R178" s="456">
        <f>R131*Q178*S178</f>
        <v>187223.4</v>
      </c>
      <c r="S178" s="487">
        <v>1000</v>
      </c>
      <c r="T178" s="452" t="s">
        <v>337</v>
      </c>
      <c r="U178" s="462"/>
      <c r="V178" s="452"/>
      <c r="W178" s="491">
        <v>0.025</v>
      </c>
      <c r="X178" s="456">
        <f>X131*W178*Y178</f>
        <v>46753.2</v>
      </c>
      <c r="Y178" s="487">
        <v>1000</v>
      </c>
      <c r="Z178" s="151" t="s">
        <v>337</v>
      </c>
      <c r="AA178" s="425"/>
      <c r="AB178" s="452"/>
      <c r="AC178" s="491">
        <v>0.025</v>
      </c>
      <c r="AD178" s="456">
        <f>AD131*AC178*AE178</f>
        <v>18743.4</v>
      </c>
      <c r="AE178" s="487">
        <v>1000</v>
      </c>
      <c r="AF178" s="452" t="s">
        <v>337</v>
      </c>
    </row>
    <row r="179" spans="1:32" ht="12.75">
      <c r="A179" s="22"/>
      <c r="B179" s="151"/>
      <c r="C179" s="151"/>
      <c r="D179" s="151"/>
      <c r="E179" s="458"/>
      <c r="F179" s="458"/>
      <c r="G179" s="458"/>
      <c r="H179" s="151"/>
      <c r="I179" s="459"/>
      <c r="J179" s="151"/>
      <c r="K179" s="455"/>
      <c r="L179" s="455"/>
      <c r="M179" s="455"/>
      <c r="N179" s="151"/>
      <c r="O179" s="425"/>
      <c r="P179" s="151"/>
      <c r="Q179" s="455"/>
      <c r="R179" s="455"/>
      <c r="S179" s="455"/>
      <c r="T179" s="452"/>
      <c r="U179" s="462"/>
      <c r="V179" s="452"/>
      <c r="W179" s="455"/>
      <c r="X179" s="455"/>
      <c r="Y179" s="455"/>
      <c r="Z179" s="151"/>
      <c r="AA179" s="425"/>
      <c r="AB179" s="452"/>
      <c r="AC179" s="455"/>
      <c r="AD179" s="456"/>
      <c r="AE179" s="455"/>
      <c r="AF179" s="452"/>
    </row>
    <row r="180" spans="1:32" ht="12.75">
      <c r="A180" s="22">
        <v>14</v>
      </c>
      <c r="B180" s="151" t="s">
        <v>343</v>
      </c>
      <c r="C180" s="151"/>
      <c r="D180" s="151"/>
      <c r="E180" s="458" t="s">
        <v>373</v>
      </c>
      <c r="F180" s="460">
        <v>6000</v>
      </c>
      <c r="G180" s="458" t="s">
        <v>374</v>
      </c>
      <c r="H180" s="151"/>
      <c r="I180" s="459"/>
      <c r="J180" s="151"/>
      <c r="K180" s="455" t="s">
        <v>373</v>
      </c>
      <c r="L180" s="456">
        <v>6000</v>
      </c>
      <c r="M180" s="455" t="s">
        <v>374</v>
      </c>
      <c r="N180" s="151"/>
      <c r="O180" s="425"/>
      <c r="P180" s="151"/>
      <c r="Q180" s="455" t="s">
        <v>373</v>
      </c>
      <c r="R180" s="456">
        <v>6000</v>
      </c>
      <c r="S180" s="455" t="s">
        <v>374</v>
      </c>
      <c r="T180" s="452"/>
      <c r="U180" s="462"/>
      <c r="V180" s="452"/>
      <c r="W180" s="455" t="s">
        <v>373</v>
      </c>
      <c r="X180" s="456">
        <v>6000</v>
      </c>
      <c r="Y180" s="455" t="s">
        <v>374</v>
      </c>
      <c r="Z180" s="151"/>
      <c r="AA180" s="425"/>
      <c r="AB180" s="452"/>
      <c r="AC180" s="455" t="s">
        <v>373</v>
      </c>
      <c r="AD180" s="456">
        <v>6000</v>
      </c>
      <c r="AE180" s="455" t="s">
        <v>374</v>
      </c>
      <c r="AF180" s="452"/>
    </row>
    <row r="181" spans="1:32" ht="12.75">
      <c r="A181" s="22">
        <v>15</v>
      </c>
      <c r="B181" s="151" t="s">
        <v>346</v>
      </c>
      <c r="C181" s="151"/>
      <c r="D181" s="151"/>
      <c r="E181" s="458" t="s">
        <v>347</v>
      </c>
      <c r="F181" s="460">
        <v>10000</v>
      </c>
      <c r="G181" s="458"/>
      <c r="H181" s="151"/>
      <c r="I181" s="459"/>
      <c r="J181" s="151"/>
      <c r="K181" s="455" t="s">
        <v>347</v>
      </c>
      <c r="L181" s="456">
        <v>10000</v>
      </c>
      <c r="M181" s="455"/>
      <c r="N181" s="151"/>
      <c r="O181" s="425"/>
      <c r="P181" s="151"/>
      <c r="Q181" s="455" t="s">
        <v>347</v>
      </c>
      <c r="R181" s="456">
        <v>10000</v>
      </c>
      <c r="S181" s="455"/>
      <c r="T181" s="452"/>
      <c r="U181" s="462"/>
      <c r="V181" s="452"/>
      <c r="W181" s="455" t="s">
        <v>347</v>
      </c>
      <c r="X181" s="456">
        <v>10000</v>
      </c>
      <c r="Y181" s="455"/>
      <c r="Z181" s="151"/>
      <c r="AA181" s="425"/>
      <c r="AB181" s="452"/>
      <c r="AC181" s="455" t="s">
        <v>347</v>
      </c>
      <c r="AD181" s="456">
        <v>10000</v>
      </c>
      <c r="AE181" s="455"/>
      <c r="AF181" s="452"/>
    </row>
    <row r="182" spans="1:32" ht="12.75">
      <c r="A182" s="22"/>
      <c r="B182" s="151"/>
      <c r="C182" s="151"/>
      <c r="D182" s="151"/>
      <c r="E182" s="458"/>
      <c r="F182" s="458"/>
      <c r="G182" s="458"/>
      <c r="H182" s="151"/>
      <c r="I182" s="459"/>
      <c r="J182" s="151"/>
      <c r="K182" s="455"/>
      <c r="L182" s="455"/>
      <c r="M182" s="455"/>
      <c r="N182" s="151"/>
      <c r="O182" s="425"/>
      <c r="P182" s="151"/>
      <c r="Q182" s="455"/>
      <c r="R182" s="455"/>
      <c r="S182" s="455"/>
      <c r="T182" s="452"/>
      <c r="U182" s="462"/>
      <c r="V182" s="452"/>
      <c r="W182" s="455"/>
      <c r="X182" s="455"/>
      <c r="Y182" s="455"/>
      <c r="Z182" s="151"/>
      <c r="AA182" s="425"/>
      <c r="AB182" s="452"/>
      <c r="AC182" s="455"/>
      <c r="AD182" s="455"/>
      <c r="AE182" s="455"/>
      <c r="AF182" s="452"/>
    </row>
    <row r="183" spans="1:32" ht="12.75">
      <c r="A183" s="22">
        <v>16</v>
      </c>
      <c r="B183" s="151" t="s">
        <v>348</v>
      </c>
      <c r="C183" s="151"/>
      <c r="D183" s="151"/>
      <c r="E183" s="458"/>
      <c r="F183" s="460">
        <v>800000</v>
      </c>
      <c r="G183" s="458"/>
      <c r="H183" s="151"/>
      <c r="I183" s="459"/>
      <c r="J183" s="151"/>
      <c r="K183" s="455"/>
      <c r="L183" s="456">
        <v>700000</v>
      </c>
      <c r="M183" s="455"/>
      <c r="N183" s="151"/>
      <c r="O183" s="425"/>
      <c r="P183" s="151"/>
      <c r="Q183" s="455"/>
      <c r="R183" s="456">
        <v>600000</v>
      </c>
      <c r="S183" s="455"/>
      <c r="T183" s="452"/>
      <c r="U183" s="462"/>
      <c r="V183" s="452"/>
      <c r="W183" s="455"/>
      <c r="X183" s="456">
        <v>500000</v>
      </c>
      <c r="Y183" s="455"/>
      <c r="Z183" s="151"/>
      <c r="AA183" s="425"/>
      <c r="AB183" s="452"/>
      <c r="AC183" s="455"/>
      <c r="AD183" s="456">
        <v>400000</v>
      </c>
      <c r="AE183" s="455"/>
      <c r="AF183" s="452"/>
    </row>
    <row r="184" spans="1:32" ht="12.75">
      <c r="A184" s="22"/>
      <c r="B184" s="151"/>
      <c r="C184" s="151"/>
      <c r="D184" s="151"/>
      <c r="E184" s="458"/>
      <c r="F184" s="458"/>
      <c r="G184" s="458"/>
      <c r="H184" s="151"/>
      <c r="I184" s="459"/>
      <c r="J184" s="151"/>
      <c r="K184" s="455"/>
      <c r="L184" s="455"/>
      <c r="M184" s="455"/>
      <c r="N184" s="151"/>
      <c r="O184" s="425"/>
      <c r="P184" s="151"/>
      <c r="Q184" s="455"/>
      <c r="R184" s="455"/>
      <c r="S184" s="455"/>
      <c r="T184" s="452"/>
      <c r="U184" s="462"/>
      <c r="V184" s="452"/>
      <c r="W184" s="455"/>
      <c r="X184" s="455"/>
      <c r="Y184" s="455"/>
      <c r="Z184" s="151"/>
      <c r="AA184" s="425"/>
      <c r="AB184" s="452"/>
      <c r="AC184" s="455"/>
      <c r="AD184" s="455"/>
      <c r="AE184" s="455"/>
      <c r="AF184" s="452"/>
    </row>
    <row r="185" spans="1:32" ht="12.75">
      <c r="A185" s="22">
        <v>17</v>
      </c>
      <c r="B185" s="151" t="s">
        <v>349</v>
      </c>
      <c r="C185" s="151"/>
      <c r="D185" s="151"/>
      <c r="E185" s="458"/>
      <c r="F185" s="460">
        <v>100000</v>
      </c>
      <c r="G185" s="458"/>
      <c r="H185" s="151"/>
      <c r="I185" s="459"/>
      <c r="J185" s="151"/>
      <c r="K185" s="455"/>
      <c r="L185" s="456">
        <v>87000</v>
      </c>
      <c r="M185" s="455"/>
      <c r="N185" s="151"/>
      <c r="O185" s="425"/>
      <c r="P185" s="151"/>
      <c r="Q185" s="455"/>
      <c r="R185" s="456">
        <v>75000</v>
      </c>
      <c r="S185" s="455"/>
      <c r="T185" s="452"/>
      <c r="U185" s="462"/>
      <c r="V185" s="452"/>
      <c r="W185" s="455"/>
      <c r="X185" s="456">
        <v>37000</v>
      </c>
      <c r="Y185" s="455"/>
      <c r="Z185" s="151"/>
      <c r="AA185" s="425"/>
      <c r="AB185" s="452"/>
      <c r="AC185" s="455"/>
      <c r="AD185" s="456">
        <v>25000</v>
      </c>
      <c r="AE185" s="455"/>
      <c r="AF185" s="452"/>
    </row>
    <row r="186" spans="1:32" ht="12.75">
      <c r="A186" s="22"/>
      <c r="B186" s="151"/>
      <c r="C186" s="151"/>
      <c r="D186" s="151"/>
      <c r="E186" s="458"/>
      <c r="F186" s="458"/>
      <c r="G186" s="458"/>
      <c r="H186" s="151"/>
      <c r="I186" s="459"/>
      <c r="J186" s="151"/>
      <c r="K186" s="458"/>
      <c r="L186" s="458"/>
      <c r="M186" s="458"/>
      <c r="N186" s="151"/>
      <c r="O186" s="425"/>
      <c r="P186" s="151"/>
      <c r="Q186" s="458"/>
      <c r="R186" s="458"/>
      <c r="S186" s="458"/>
      <c r="T186" s="151"/>
      <c r="U186" s="425"/>
      <c r="V186" s="151"/>
      <c r="W186" s="458"/>
      <c r="X186" s="458"/>
      <c r="Y186" s="458"/>
      <c r="Z186" s="151"/>
      <c r="AA186" s="425"/>
      <c r="AB186" s="452"/>
      <c r="AC186" s="455"/>
      <c r="AD186" s="455"/>
      <c r="AE186" s="455"/>
      <c r="AF186" s="452"/>
    </row>
    <row r="187" spans="1:32" ht="18">
      <c r="A187" s="164"/>
      <c r="B187" s="652" t="s">
        <v>498</v>
      </c>
      <c r="C187" s="652"/>
      <c r="D187" s="652"/>
      <c r="E187" s="653"/>
      <c r="F187" s="654">
        <f>SUM(F161:F185)</f>
        <v>5280995.658057143</v>
      </c>
      <c r="G187" s="653"/>
      <c r="H187" s="652"/>
      <c r="I187" s="655"/>
      <c r="J187" s="652"/>
      <c r="K187" s="653"/>
      <c r="L187" s="654">
        <f>SUM(L161:L185)</f>
        <v>4177865.7307428573</v>
      </c>
      <c r="M187" s="653"/>
      <c r="N187" s="652"/>
      <c r="O187" s="656"/>
      <c r="P187" s="652"/>
      <c r="Q187" s="653"/>
      <c r="R187" s="654">
        <f>SUM(R161:R185)</f>
        <v>3074855.6015999997</v>
      </c>
      <c r="S187" s="653"/>
      <c r="T187" s="652"/>
      <c r="U187" s="656"/>
      <c r="V187" s="652"/>
      <c r="W187" s="653"/>
      <c r="X187" s="465">
        <f>SUM(X161:X185)</f>
        <v>1295581.5145142856</v>
      </c>
      <c r="Y187" s="653"/>
      <c r="Z187" s="652"/>
      <c r="AA187" s="656"/>
      <c r="AB187" s="657"/>
      <c r="AC187" s="524"/>
      <c r="AD187" s="465">
        <f>SUM(AD161:AD185)</f>
        <v>836940.0404571429</v>
      </c>
      <c r="AE187" s="658"/>
      <c r="AF187" s="164"/>
    </row>
    <row r="188" spans="1:32" ht="15.75">
      <c r="A188" s="164"/>
      <c r="B188" s="464"/>
      <c r="C188" s="464"/>
      <c r="D188" s="422"/>
      <c r="E188" s="492"/>
      <c r="F188" s="493"/>
      <c r="G188" s="442"/>
      <c r="H188" s="464"/>
      <c r="I188" s="466"/>
      <c r="J188" s="422"/>
      <c r="K188" s="492"/>
      <c r="L188" s="493"/>
      <c r="M188" s="442"/>
      <c r="N188" s="464"/>
      <c r="O188" s="425"/>
      <c r="P188" s="422"/>
      <c r="Q188" s="492"/>
      <c r="R188" s="493"/>
      <c r="S188" s="442"/>
      <c r="T188" s="464"/>
      <c r="U188" s="425"/>
      <c r="V188" s="422"/>
      <c r="W188" s="492"/>
      <c r="X188" s="493"/>
      <c r="Y188" s="442"/>
      <c r="Z188" s="464"/>
      <c r="AA188" s="425"/>
      <c r="AB188" s="164"/>
      <c r="AC188" s="451"/>
      <c r="AD188" s="494"/>
      <c r="AE188" s="451"/>
      <c r="AF188" s="164"/>
    </row>
  </sheetData>
  <sheetProtection password="C7CA" sheet="1" objects="1" scenarios="1"/>
  <mergeCells count="9">
    <mergeCell ref="B2:J2"/>
    <mergeCell ref="W10:AC10"/>
    <mergeCell ref="C123:G123"/>
    <mergeCell ref="C4:F4"/>
    <mergeCell ref="C68:F68"/>
    <mergeCell ref="W44:X44"/>
    <mergeCell ref="W81:AA81"/>
    <mergeCell ref="X6:AE6"/>
    <mergeCell ref="X7:AE7"/>
  </mergeCells>
  <printOptions/>
  <pageMargins left="0.58" right="0.49" top="0.67" bottom="0.69" header="0.5118110236220472" footer="0.5118110236220472"/>
  <pageSetup fitToHeight="1" fitToWidth="1" horizontalDpi="300" verticalDpi="300" orientation="portrait" paperSize="8" scale="32" r:id="rId2"/>
  <headerFooter alignWithMargins="0">
    <oddFooter>&amp;L&amp;"Arial,Bold"&amp;8&amp;F &amp;D &amp;T</oddFooter>
  </headerFooter>
  <drawing r:id="rId1"/>
</worksheet>
</file>

<file path=xl/worksheets/sheet11.xml><?xml version="1.0" encoding="utf-8"?>
<worksheet xmlns="http://schemas.openxmlformats.org/spreadsheetml/2006/main" xmlns:r="http://schemas.openxmlformats.org/officeDocument/2006/relationships">
  <sheetPr codeName="Sheet8"/>
  <dimension ref="A1:L29"/>
  <sheetViews>
    <sheetView workbookViewId="0" topLeftCell="A1">
      <selection activeCell="A1" sqref="A1:J1"/>
    </sheetView>
  </sheetViews>
  <sheetFormatPr defaultColWidth="9.140625" defaultRowHeight="12.75"/>
  <cols>
    <col min="1" max="1" width="7.421875" style="0" customWidth="1"/>
    <col min="2" max="2" width="13.00390625" style="0" customWidth="1"/>
    <col min="3" max="3" width="13.28125" style="0" customWidth="1"/>
    <col min="4" max="4" width="5.28125" style="0" customWidth="1"/>
    <col min="5" max="5" width="15.8515625" style="0" customWidth="1"/>
    <col min="6" max="6" width="11.7109375" style="0" customWidth="1"/>
    <col min="7" max="7" width="11.28125" style="0" customWidth="1"/>
    <col min="8" max="8" width="11.140625" style="0" customWidth="1"/>
    <col min="9" max="10" width="10.7109375" style="0" customWidth="1"/>
    <col min="11" max="11" width="4.7109375" style="0" customWidth="1"/>
  </cols>
  <sheetData>
    <row r="1" spans="1:10" ht="15.75">
      <c r="A1" s="1046" t="s">
        <v>83</v>
      </c>
      <c r="B1" s="1046"/>
      <c r="C1" s="1046"/>
      <c r="D1" s="1046"/>
      <c r="E1" s="1046"/>
      <c r="F1" s="1046"/>
      <c r="G1" s="1046"/>
      <c r="H1" s="1046"/>
      <c r="I1" s="1046"/>
      <c r="J1" s="1046"/>
    </row>
    <row r="2" spans="1:10" ht="10.5" customHeight="1" thickBot="1">
      <c r="A2" s="309"/>
      <c r="B2" s="309"/>
      <c r="C2" s="309"/>
      <c r="D2" s="309"/>
      <c r="E2" s="309"/>
      <c r="F2" s="309"/>
      <c r="G2" s="309"/>
      <c r="H2" s="309"/>
      <c r="I2" s="309"/>
      <c r="J2" s="309"/>
    </row>
    <row r="3" spans="1:10" ht="23.25" customHeight="1" thickBot="1" thickTop="1">
      <c r="A3" s="309"/>
      <c r="B3" s="1097" t="s">
        <v>524</v>
      </c>
      <c r="C3" s="1098"/>
      <c r="D3" s="1098"/>
      <c r="E3" s="1098"/>
      <c r="F3" s="1098"/>
      <c r="G3" s="1098"/>
      <c r="H3" s="1098"/>
      <c r="I3" s="1099"/>
      <c r="J3" s="309"/>
    </row>
    <row r="4" spans="1:10" ht="18.75" customHeight="1" thickTop="1">
      <c r="A4" s="309"/>
      <c r="B4" s="318"/>
      <c r="C4" s="318"/>
      <c r="D4" s="318"/>
      <c r="E4" s="318"/>
      <c r="F4" s="318"/>
      <c r="G4" s="318"/>
      <c r="H4" s="318"/>
      <c r="I4" s="318"/>
      <c r="J4" s="309"/>
    </row>
    <row r="5" ht="15.75">
      <c r="A5" s="28"/>
    </row>
    <row r="6" spans="1:10" ht="27" customHeight="1">
      <c r="A6" s="28"/>
      <c r="E6" s="7" t="s">
        <v>69</v>
      </c>
      <c r="F6" s="1096" t="s">
        <v>170</v>
      </c>
      <c r="G6" s="1096"/>
      <c r="H6" s="1096"/>
      <c r="I6" s="1096"/>
      <c r="J6" s="1096"/>
    </row>
    <row r="7" spans="1:10" ht="15" customHeight="1">
      <c r="A7" s="28"/>
      <c r="E7" s="7" t="s">
        <v>560</v>
      </c>
      <c r="F7" s="740">
        <v>450</v>
      </c>
      <c r="G7" s="740">
        <v>900</v>
      </c>
      <c r="H7" s="740">
        <v>1350</v>
      </c>
      <c r="I7" s="740">
        <v>2250</v>
      </c>
      <c r="J7" s="740">
        <v>4500</v>
      </c>
    </row>
    <row r="8" spans="4:10" ht="14.25" customHeight="1">
      <c r="D8" s="187" t="s">
        <v>180</v>
      </c>
      <c r="E8" s="349" t="s">
        <v>525</v>
      </c>
      <c r="F8" s="740">
        <f>+F9*3</f>
        <v>300</v>
      </c>
      <c r="G8" s="740">
        <f>+G9*3</f>
        <v>600</v>
      </c>
      <c r="H8" s="740">
        <f>+H9*3</f>
        <v>900</v>
      </c>
      <c r="I8" s="740">
        <f>+I9*3</f>
        <v>1500</v>
      </c>
      <c r="J8" s="740">
        <f>+J9*3</f>
        <v>3000</v>
      </c>
    </row>
    <row r="9" spans="4:10" ht="12.75">
      <c r="D9" s="187" t="s">
        <v>180</v>
      </c>
      <c r="E9" s="349" t="s">
        <v>656</v>
      </c>
      <c r="F9" s="740">
        <v>100</v>
      </c>
      <c r="G9" s="740">
        <v>200</v>
      </c>
      <c r="H9" s="740">
        <v>300</v>
      </c>
      <c r="I9" s="740">
        <v>500</v>
      </c>
      <c r="J9" s="740">
        <v>1000</v>
      </c>
    </row>
    <row r="11" spans="2:10" ht="12.75">
      <c r="B11" s="1" t="s">
        <v>172</v>
      </c>
      <c r="F11" s="176">
        <v>50000</v>
      </c>
      <c r="G11" s="176">
        <v>150000</v>
      </c>
      <c r="H11" s="176">
        <v>250000</v>
      </c>
      <c r="I11" s="176">
        <v>400000</v>
      </c>
      <c r="J11" s="176">
        <v>750000</v>
      </c>
    </row>
    <row r="13" ht="14.25" customHeight="1">
      <c r="B13" s="1" t="s">
        <v>11</v>
      </c>
    </row>
    <row r="14" spans="2:10" ht="15" customHeight="1">
      <c r="B14" s="5" t="s">
        <v>255</v>
      </c>
      <c r="C14" s="23"/>
      <c r="D14" s="23"/>
      <c r="E14" s="177">
        <f>+'Scenario Costs All Facilities'!$Q$45</f>
        <v>0.12</v>
      </c>
      <c r="F14" s="8">
        <f>+F11*$E14/12</f>
        <v>500</v>
      </c>
      <c r="G14" s="8">
        <f>+G11*$E14/12</f>
        <v>1500</v>
      </c>
      <c r="H14" s="8">
        <f>+H11*$E14/12</f>
        <v>2500</v>
      </c>
      <c r="I14" s="8">
        <f>+I11*$E14/12</f>
        <v>4000</v>
      </c>
      <c r="J14" s="8">
        <f>+J11*$E14/12</f>
        <v>7500</v>
      </c>
    </row>
    <row r="15" spans="2:10" ht="27.75" customHeight="1">
      <c r="B15" s="1066" t="s">
        <v>256</v>
      </c>
      <c r="C15" s="1067"/>
      <c r="D15" s="356"/>
      <c r="E15" s="359">
        <v>10</v>
      </c>
      <c r="F15" s="347">
        <f>ROUND(+F11/(12*$E15),-2)</f>
        <v>400</v>
      </c>
      <c r="G15" s="347">
        <f>ROUND(+G11/(12*$E15),-2)</f>
        <v>1300</v>
      </c>
      <c r="H15" s="347">
        <f>ROUND(+H11/(12*$E15),-2)</f>
        <v>2100</v>
      </c>
      <c r="I15" s="347">
        <f>ROUND(+I11/(12*$E15),-2)</f>
        <v>3300</v>
      </c>
      <c r="J15" s="347">
        <f>ROUND(+J11/(12*$E15),-2)</f>
        <v>6300</v>
      </c>
    </row>
    <row r="16" spans="2:10" ht="14.25" customHeight="1">
      <c r="B16" s="5" t="s">
        <v>257</v>
      </c>
      <c r="C16" s="23"/>
      <c r="D16" s="23"/>
      <c r="E16" s="730">
        <v>0.1</v>
      </c>
      <c r="F16" s="8">
        <f>ROUND(+F11*$E16/12,-2)</f>
        <v>400</v>
      </c>
      <c r="G16" s="8">
        <f>ROUND(+G11*$E16/12,-2)</f>
        <v>1300</v>
      </c>
      <c r="H16" s="8">
        <f>ROUND(+H11*$E16/12,-2)</f>
        <v>2100</v>
      </c>
      <c r="I16" s="8">
        <f>ROUND(+I11*$E16/12,-2)</f>
        <v>3300</v>
      </c>
      <c r="J16" s="8">
        <f>ROUND(+J11*$E16/12,-2)</f>
        <v>6300</v>
      </c>
    </row>
    <row r="17" spans="2:10" ht="12.75">
      <c r="B17" s="23" t="s">
        <v>30</v>
      </c>
      <c r="C17" s="25" t="s">
        <v>173</v>
      </c>
      <c r="D17" s="22"/>
      <c r="F17" s="179">
        <v>3</v>
      </c>
      <c r="G17" s="179">
        <v>6</v>
      </c>
      <c r="H17" s="179">
        <v>9</v>
      </c>
      <c r="I17" s="179">
        <v>15</v>
      </c>
      <c r="J17" s="179">
        <v>25</v>
      </c>
    </row>
    <row r="18" spans="2:10" ht="12.75">
      <c r="B18" s="23"/>
      <c r="C18" s="25" t="s">
        <v>174</v>
      </c>
      <c r="D18" s="25"/>
      <c r="E18" s="178">
        <v>3000</v>
      </c>
      <c r="F18" s="8">
        <f>+F17*$E18</f>
        <v>9000</v>
      </c>
      <c r="G18" s="8">
        <f>+G17*$E18</f>
        <v>18000</v>
      </c>
      <c r="H18" s="8">
        <f>+H17*$E18</f>
        <v>27000</v>
      </c>
      <c r="I18" s="8">
        <f>+I17*$E18</f>
        <v>45000</v>
      </c>
      <c r="J18" s="8">
        <f>+J17*$E18</f>
        <v>75000</v>
      </c>
    </row>
    <row r="19" spans="2:10" ht="15" customHeight="1">
      <c r="B19" s="23" t="s">
        <v>13</v>
      </c>
      <c r="C19" s="25"/>
      <c r="D19" s="25"/>
      <c r="E19" s="25"/>
      <c r="F19" s="8"/>
      <c r="G19" s="8"/>
      <c r="H19" s="8"/>
      <c r="I19" s="8"/>
      <c r="J19" s="8"/>
    </row>
    <row r="20" spans="2:10" ht="12.75">
      <c r="B20" s="23"/>
      <c r="C20" s="25" t="s">
        <v>31</v>
      </c>
      <c r="D20" s="25"/>
      <c r="E20" s="25">
        <v>0.5</v>
      </c>
      <c r="F20" s="8">
        <f>+F9*20*$E20</f>
        <v>1000</v>
      </c>
      <c r="G20" s="8">
        <f>+G9*20*$E20</f>
        <v>2000</v>
      </c>
      <c r="H20" s="8">
        <f>+H9*20*$E20</f>
        <v>3000</v>
      </c>
      <c r="I20" s="8">
        <f>+I9*20*$E20</f>
        <v>5000</v>
      </c>
      <c r="J20" s="8">
        <f>+J9*20*$E20</f>
        <v>10000</v>
      </c>
    </row>
    <row r="21" spans="2:10" ht="12.75">
      <c r="B21" s="23"/>
      <c r="C21" s="25" t="s">
        <v>32</v>
      </c>
      <c r="D21" s="25"/>
      <c r="E21" s="25">
        <v>0.2</v>
      </c>
      <c r="F21" s="8">
        <f>+F9*20*1.1*$E21</f>
        <v>440</v>
      </c>
      <c r="G21" s="8">
        <f>+G9*20*1.1*$E21</f>
        <v>880</v>
      </c>
      <c r="H21" s="8">
        <f>+H9*20*1.1*$E21</f>
        <v>1320.0000000000002</v>
      </c>
      <c r="I21" s="8">
        <f>+I9*20*1.1*$E21</f>
        <v>2200</v>
      </c>
      <c r="J21" s="8">
        <f>+J9*20*1.1*$E21</f>
        <v>4400</v>
      </c>
    </row>
    <row r="22" spans="2:10" ht="12.75">
      <c r="B22" s="23"/>
      <c r="C22" s="25" t="s">
        <v>33</v>
      </c>
      <c r="D22" s="25"/>
      <c r="E22" s="25">
        <v>0.02</v>
      </c>
      <c r="F22" s="8">
        <f>+F9*5*$E22*20</f>
        <v>200</v>
      </c>
      <c r="G22" s="8">
        <f>+G9*5*$E22*20</f>
        <v>400</v>
      </c>
      <c r="H22" s="8">
        <f>+H9*5*$E22*20</f>
        <v>600</v>
      </c>
      <c r="I22" s="8">
        <f>+I9*5*$E22*20</f>
        <v>1000</v>
      </c>
      <c r="J22" s="8">
        <f>+J9*5*$E22*20</f>
        <v>2000</v>
      </c>
    </row>
    <row r="23" spans="2:10" ht="12.75">
      <c r="B23" s="23"/>
      <c r="C23" s="25" t="s">
        <v>181</v>
      </c>
      <c r="D23" s="25"/>
      <c r="E23" s="25">
        <v>100</v>
      </c>
      <c r="F23" s="8">
        <f>+F17*$E23</f>
        <v>300</v>
      </c>
      <c r="G23" s="8">
        <f>+G17*$E23</f>
        <v>600</v>
      </c>
      <c r="H23" s="8">
        <f>+H17*$E23</f>
        <v>900</v>
      </c>
      <c r="I23" s="8">
        <f>+I17*$E23</f>
        <v>1500</v>
      </c>
      <c r="J23" s="8">
        <f>+J17*$E23</f>
        <v>2500</v>
      </c>
    </row>
    <row r="24" spans="2:10" ht="18.75" customHeight="1">
      <c r="B24" s="1002" t="s">
        <v>169</v>
      </c>
      <c r="C24" s="1100"/>
      <c r="D24" s="1100"/>
      <c r="E24" s="1003"/>
      <c r="F24" s="348">
        <f>ROUND(SUM(F14:F23),-3)</f>
        <v>12000</v>
      </c>
      <c r="G24" s="348">
        <f>ROUND(SUM(G14:G23),-3)</f>
        <v>26000</v>
      </c>
      <c r="H24" s="348">
        <f>ROUND(SUM(H14:H23),-3)</f>
        <v>40000</v>
      </c>
      <c r="I24" s="348">
        <f>ROUND(SUM(I14:I23),-3)</f>
        <v>65000</v>
      </c>
      <c r="J24" s="348">
        <f>ROUND(SUM(J14:J23),-3)</f>
        <v>114000</v>
      </c>
    </row>
    <row r="25" spans="2:10" ht="28.5" customHeight="1">
      <c r="B25" s="357" t="s">
        <v>259</v>
      </c>
      <c r="C25" s="23"/>
      <c r="D25" s="360">
        <v>25</v>
      </c>
      <c r="E25" s="358">
        <f>+D25/100</f>
        <v>0.25</v>
      </c>
      <c r="F25" s="361">
        <f>+F24*$E25</f>
        <v>3000</v>
      </c>
      <c r="G25" s="361">
        <f>+G24*$E25</f>
        <v>6500</v>
      </c>
      <c r="H25" s="361">
        <f>+H24*$E25</f>
        <v>10000</v>
      </c>
      <c r="I25" s="361">
        <f>+I24*$E25</f>
        <v>16250</v>
      </c>
      <c r="J25" s="361">
        <f>+J24*$E25</f>
        <v>28500</v>
      </c>
    </row>
    <row r="26" spans="2:12" ht="27.75" customHeight="1">
      <c r="B26" s="957" t="s">
        <v>260</v>
      </c>
      <c r="C26" s="958"/>
      <c r="D26" s="958"/>
      <c r="E26" s="959"/>
      <c r="F26" s="361">
        <f>SUM(F24:F25)</f>
        <v>15000</v>
      </c>
      <c r="G26" s="361">
        <f>SUM(G24:G25)</f>
        <v>32500</v>
      </c>
      <c r="H26" s="361">
        <f>SUM(H24:H25)</f>
        <v>50000</v>
      </c>
      <c r="I26" s="361">
        <f>SUM(I24:I25)</f>
        <v>81250</v>
      </c>
      <c r="J26" s="361">
        <f>SUM(J24:J25)</f>
        <v>142500</v>
      </c>
      <c r="L26" s="364" t="s">
        <v>261</v>
      </c>
    </row>
    <row r="27" spans="2:12" ht="18.75" customHeight="1">
      <c r="B27" s="1087" t="s">
        <v>526</v>
      </c>
      <c r="C27" s="1088"/>
      <c r="D27" s="1089"/>
      <c r="E27" s="349" t="s">
        <v>682</v>
      </c>
      <c r="F27" s="362">
        <f aca="true" t="shared" si="0" ref="F27:J29">ROUND(+F$26/(F7*20),1)</f>
        <v>1.7</v>
      </c>
      <c r="G27" s="362">
        <f t="shared" si="0"/>
        <v>1.8</v>
      </c>
      <c r="H27" s="362">
        <f t="shared" si="0"/>
        <v>1.9</v>
      </c>
      <c r="I27" s="362">
        <f t="shared" si="0"/>
        <v>1.8</v>
      </c>
      <c r="J27" s="362">
        <f t="shared" si="0"/>
        <v>1.6</v>
      </c>
      <c r="K27" s="363"/>
      <c r="L27" s="365">
        <f>ROUND(AVERAGE(F27:J27),1)</f>
        <v>1.8</v>
      </c>
    </row>
    <row r="28" spans="2:12" ht="17.25" customHeight="1">
      <c r="B28" s="1090"/>
      <c r="C28" s="1091"/>
      <c r="D28" s="1092"/>
      <c r="E28" s="349" t="s">
        <v>171</v>
      </c>
      <c r="F28" s="362">
        <f t="shared" si="0"/>
        <v>2.5</v>
      </c>
      <c r="G28" s="362">
        <f t="shared" si="0"/>
        <v>2.7</v>
      </c>
      <c r="H28" s="362">
        <f t="shared" si="0"/>
        <v>2.8</v>
      </c>
      <c r="I28" s="362">
        <f t="shared" si="0"/>
        <v>2.7</v>
      </c>
      <c r="J28" s="362">
        <f t="shared" si="0"/>
        <v>2.4</v>
      </c>
      <c r="K28" s="363"/>
      <c r="L28" s="365">
        <f>ROUND(AVERAGE(F28:J28),1)</f>
        <v>2.6</v>
      </c>
    </row>
    <row r="29" spans="2:12" ht="18" customHeight="1">
      <c r="B29" s="1093"/>
      <c r="C29" s="1094"/>
      <c r="D29" s="1095"/>
      <c r="E29" s="349" t="s">
        <v>657</v>
      </c>
      <c r="F29" s="362">
        <f t="shared" si="0"/>
        <v>7.5</v>
      </c>
      <c r="G29" s="362">
        <f t="shared" si="0"/>
        <v>8.1</v>
      </c>
      <c r="H29" s="362">
        <f t="shared" si="0"/>
        <v>8.3</v>
      </c>
      <c r="I29" s="362">
        <f t="shared" si="0"/>
        <v>8.1</v>
      </c>
      <c r="J29" s="362">
        <f t="shared" si="0"/>
        <v>7.1</v>
      </c>
      <c r="K29" s="363"/>
      <c r="L29" s="365">
        <f>ROUND(AVERAGE(F29:J29),1)</f>
        <v>7.8</v>
      </c>
    </row>
  </sheetData>
  <sheetProtection password="C7CA" sheet="1" objects="1" scenarios="1"/>
  <mergeCells count="7">
    <mergeCell ref="B27:D29"/>
    <mergeCell ref="A1:J1"/>
    <mergeCell ref="B15:C15"/>
    <mergeCell ref="B26:E26"/>
    <mergeCell ref="F6:J6"/>
    <mergeCell ref="B3:I3"/>
    <mergeCell ref="B24:E24"/>
  </mergeCells>
  <printOptions/>
  <pageMargins left="0.75" right="0.75" top="1" bottom="1" header="0.5" footer="0.5"/>
  <pageSetup horizontalDpi="300" verticalDpi="300" orientation="portrait" paperSize="9" r:id="rId2"/>
  <headerFooter alignWithMargins="0">
    <oddFooter>&amp;L&amp;"Arial,Bold"&amp;8&amp;F &amp;D &amp;T</oddFooter>
  </headerFooter>
  <drawing r:id="rId1"/>
</worksheet>
</file>

<file path=xl/worksheets/sheet12.xml><?xml version="1.0" encoding="utf-8"?>
<worksheet xmlns="http://schemas.openxmlformats.org/spreadsheetml/2006/main" xmlns:r="http://schemas.openxmlformats.org/officeDocument/2006/relationships">
  <sheetPr codeName="Sheet9"/>
  <dimension ref="A1:J55"/>
  <sheetViews>
    <sheetView zoomScale="75" zoomScaleNormal="75" workbookViewId="0" topLeftCell="A1">
      <selection activeCell="A1" sqref="A1:I1"/>
    </sheetView>
  </sheetViews>
  <sheetFormatPr defaultColWidth="9.140625" defaultRowHeight="12.75"/>
  <cols>
    <col min="1" max="1" width="10.421875" style="0" customWidth="1"/>
    <col min="2" max="2" width="14.8515625" style="0" customWidth="1"/>
    <col min="3" max="3" width="19.8515625" style="0" customWidth="1"/>
    <col min="4" max="4" width="18.8515625" style="0" customWidth="1"/>
    <col min="5" max="5" width="14.7109375" style="0" customWidth="1"/>
    <col min="6" max="6" width="15.8515625" style="0" customWidth="1"/>
    <col min="7" max="7" width="16.421875" style="0" customWidth="1"/>
    <col min="8" max="8" width="11.7109375" style="0" customWidth="1"/>
  </cols>
  <sheetData>
    <row r="1" spans="1:10" ht="15.75">
      <c r="A1" s="1046" t="s">
        <v>83</v>
      </c>
      <c r="B1" s="1046"/>
      <c r="C1" s="1046"/>
      <c r="D1" s="1046"/>
      <c r="E1" s="1046"/>
      <c r="F1" s="1046"/>
      <c r="G1" s="1046"/>
      <c r="H1" s="1046"/>
      <c r="I1" s="1046"/>
      <c r="J1" s="309"/>
    </row>
    <row r="2" spans="1:10" ht="13.5" thickBot="1">
      <c r="A2" s="309"/>
      <c r="B2" s="309"/>
      <c r="C2" s="309"/>
      <c r="D2" s="309"/>
      <c r="E2" s="309"/>
      <c r="F2" s="309"/>
      <c r="G2" s="309"/>
      <c r="H2" s="309"/>
      <c r="I2" s="309"/>
      <c r="J2" s="309"/>
    </row>
    <row r="3" spans="1:10" ht="42.75" customHeight="1" thickBot="1" thickTop="1">
      <c r="A3" s="309"/>
      <c r="B3" s="1113" t="s">
        <v>196</v>
      </c>
      <c r="C3" s="1114"/>
      <c r="D3" s="1114"/>
      <c r="E3" s="1114"/>
      <c r="F3" s="1114"/>
      <c r="G3" s="1114"/>
      <c r="H3" s="1114"/>
      <c r="I3" s="1115"/>
      <c r="J3" s="309"/>
    </row>
    <row r="4" spans="1:10" ht="15.75" customHeight="1" thickTop="1">
      <c r="A4" s="308"/>
      <c r="B4" s="308"/>
      <c r="C4" s="308"/>
      <c r="D4" s="308"/>
      <c r="E4" s="308"/>
      <c r="F4" s="308"/>
      <c r="G4" s="308"/>
      <c r="H4" s="308"/>
      <c r="I4" s="309"/>
      <c r="J4" s="309"/>
    </row>
    <row r="5" ht="15.75" customHeight="1"/>
    <row r="6" spans="1:8" ht="26.25" customHeight="1">
      <c r="A6" s="1116" t="s">
        <v>182</v>
      </c>
      <c r="B6" s="980"/>
      <c r="C6" s="980"/>
      <c r="D6" s="980"/>
      <c r="E6" s="980"/>
      <c r="F6" s="980"/>
      <c r="G6" s="980"/>
      <c r="H6" s="980"/>
    </row>
    <row r="7" ht="26.25" customHeight="1" thickBot="1">
      <c r="H7" s="30"/>
    </row>
    <row r="8" spans="2:7" ht="43.5" customHeight="1" thickTop="1">
      <c r="B8" s="995" t="s">
        <v>51</v>
      </c>
      <c r="C8" s="996"/>
      <c r="D8" s="996"/>
      <c r="E8" s="997"/>
      <c r="F8" s="61" t="s">
        <v>40</v>
      </c>
      <c r="G8" s="62" t="s">
        <v>65</v>
      </c>
    </row>
    <row r="9" spans="2:7" ht="12.75" customHeight="1">
      <c r="B9" s="1021" t="s">
        <v>265</v>
      </c>
      <c r="C9" s="1022"/>
      <c r="D9" s="1022"/>
      <c r="E9" s="1023"/>
      <c r="F9" s="5" t="s">
        <v>48</v>
      </c>
      <c r="G9" s="63">
        <f>+'Scenario Costs All Facilities'!G7</f>
        <v>723730</v>
      </c>
    </row>
    <row r="10" spans="2:7" ht="12.75" customHeight="1">
      <c r="B10" s="64"/>
      <c r="C10" s="22"/>
      <c r="D10" s="22"/>
      <c r="E10" s="22"/>
      <c r="F10" s="5" t="s">
        <v>49</v>
      </c>
      <c r="G10" s="63">
        <f>+'Scenario Costs All Facilities'!G8</f>
        <v>29119.999999999996</v>
      </c>
    </row>
    <row r="11" spans="2:7" ht="12.75" customHeight="1">
      <c r="B11" s="64"/>
      <c r="C11" s="22"/>
      <c r="D11" s="22"/>
      <c r="E11" s="22"/>
      <c r="F11" s="5" t="s">
        <v>50</v>
      </c>
      <c r="G11" s="63">
        <f>+'Scenario Costs All Facilities'!G9</f>
        <v>69650</v>
      </c>
    </row>
    <row r="12" spans="2:7" ht="12.75" customHeight="1">
      <c r="B12" s="64"/>
      <c r="C12" s="22"/>
      <c r="D12" s="22"/>
      <c r="E12" s="22"/>
      <c r="F12" s="5" t="s">
        <v>56</v>
      </c>
      <c r="G12" s="63">
        <f>SUM(G9:G11)</f>
        <v>822500</v>
      </c>
    </row>
    <row r="13" spans="2:7" ht="12.75" customHeight="1" thickBot="1">
      <c r="B13" s="65"/>
      <c r="C13" s="66"/>
      <c r="D13" s="66"/>
      <c r="E13" s="66"/>
      <c r="F13" s="67"/>
      <c r="G13" s="68"/>
    </row>
    <row r="14" spans="7:8" ht="12.75" customHeight="1" thickTop="1">
      <c r="G14" s="10"/>
      <c r="H14" s="30"/>
    </row>
    <row r="15" spans="6:8" ht="22.5" customHeight="1">
      <c r="F15" s="468" t="s">
        <v>631</v>
      </c>
      <c r="G15" s="810">
        <f>'Scenario Costs All Facilities'!D9</f>
        <v>-0.3</v>
      </c>
      <c r="H15" s="30"/>
    </row>
    <row r="16" spans="7:8" ht="12.75" customHeight="1" thickBot="1">
      <c r="G16" s="129"/>
      <c r="H16" s="206"/>
    </row>
    <row r="17" spans="2:8" ht="27" customHeight="1">
      <c r="B17" s="1102" t="s">
        <v>68</v>
      </c>
      <c r="C17" s="1103"/>
      <c r="D17" s="1103"/>
      <c r="E17" s="1103"/>
      <c r="F17" s="1104"/>
      <c r="G17" s="207"/>
      <c r="H17" s="207"/>
    </row>
    <row r="18" spans="2:8" ht="54.75" customHeight="1">
      <c r="B18" s="208" t="s">
        <v>69</v>
      </c>
      <c r="C18" s="76" t="s">
        <v>77</v>
      </c>
      <c r="D18" s="71"/>
      <c r="E18" s="76" t="s">
        <v>78</v>
      </c>
      <c r="F18" s="209" t="s">
        <v>203</v>
      </c>
      <c r="G18" s="22"/>
      <c r="H18" s="22"/>
    </row>
    <row r="19" spans="2:8" ht="12.75" customHeight="1">
      <c r="B19" s="369" t="s">
        <v>43</v>
      </c>
      <c r="C19" s="229">
        <v>0.7</v>
      </c>
      <c r="D19" s="71"/>
      <c r="E19" s="82">
        <v>9</v>
      </c>
      <c r="F19" s="397">
        <v>30</v>
      </c>
      <c r="G19" s="22"/>
      <c r="H19" s="22"/>
    </row>
    <row r="20" spans="2:8" ht="12.75" customHeight="1">
      <c r="B20" s="369" t="s">
        <v>70</v>
      </c>
      <c r="C20" s="229">
        <v>0.35</v>
      </c>
      <c r="D20" s="71"/>
      <c r="E20" s="82">
        <v>8</v>
      </c>
      <c r="F20" s="397">
        <v>28</v>
      </c>
      <c r="G20" s="22"/>
      <c r="H20" s="22"/>
    </row>
    <row r="21" spans="2:8" ht="12.75" customHeight="1">
      <c r="B21" s="210" t="s">
        <v>81</v>
      </c>
      <c r="C21" s="82"/>
      <c r="D21" s="71"/>
      <c r="E21" s="82">
        <v>2.5</v>
      </c>
      <c r="F21" s="397">
        <v>23</v>
      </c>
      <c r="G21" s="22"/>
      <c r="H21" s="22"/>
    </row>
    <row r="22" spans="2:8" ht="12.75" customHeight="1">
      <c r="B22" s="212"/>
      <c r="C22" s="77"/>
      <c r="D22" s="78"/>
      <c r="E22" s="77"/>
      <c r="F22" s="399"/>
      <c r="G22" s="214"/>
      <c r="H22" s="215"/>
    </row>
    <row r="23" spans="2:8" ht="27.75" customHeight="1">
      <c r="B23" s="1105" t="s">
        <v>197</v>
      </c>
      <c r="C23" s="1106"/>
      <c r="D23" s="216">
        <v>150</v>
      </c>
      <c r="E23" s="217" t="s">
        <v>155</v>
      </c>
      <c r="F23" s="398">
        <v>3000</v>
      </c>
      <c r="G23" s="22"/>
      <c r="H23" s="22"/>
    </row>
    <row r="24" spans="2:8" ht="12.75" customHeight="1" thickBot="1">
      <c r="B24" s="218"/>
      <c r="C24" s="219"/>
      <c r="D24" s="219"/>
      <c r="E24" s="219"/>
      <c r="F24" s="220"/>
      <c r="G24" s="56"/>
      <c r="H24" s="70"/>
    </row>
    <row r="25" spans="7:8" ht="12.75" customHeight="1">
      <c r="G25" s="10"/>
      <c r="H25" s="30"/>
    </row>
    <row r="26" spans="7:8" ht="12.75" customHeight="1">
      <c r="G26" s="10"/>
      <c r="H26" s="30"/>
    </row>
    <row r="27" ht="12.75" customHeight="1"/>
    <row r="28" spans="5:8" ht="24" customHeight="1">
      <c r="E28" s="1107" t="s">
        <v>198</v>
      </c>
      <c r="F28" s="1108"/>
      <c r="G28" s="1109"/>
      <c r="H28" s="2"/>
    </row>
    <row r="29" spans="5:8" ht="12.75">
      <c r="E29" s="146"/>
      <c r="F29" s="22"/>
      <c r="G29" s="114"/>
      <c r="H29" s="22"/>
    </row>
    <row r="30" spans="5:8" ht="24.75" customHeight="1">
      <c r="E30" s="1110" t="s">
        <v>164</v>
      </c>
      <c r="F30" s="1111"/>
      <c r="G30" s="1112"/>
      <c r="H30" s="22"/>
    </row>
    <row r="31" spans="5:8" ht="12.75">
      <c r="E31" s="198"/>
      <c r="F31" s="400"/>
      <c r="G31" s="54"/>
      <c r="H31" s="22"/>
    </row>
    <row r="32" spans="1:9" ht="28.5" customHeight="1">
      <c r="A32" s="32" t="s">
        <v>47</v>
      </c>
      <c r="E32" s="7" t="s">
        <v>40</v>
      </c>
      <c r="F32" s="7" t="s">
        <v>41</v>
      </c>
      <c r="G32" s="7" t="s">
        <v>42</v>
      </c>
      <c r="H32" s="146"/>
      <c r="I32" s="22"/>
    </row>
    <row r="33" spans="1:9" ht="15.75">
      <c r="A33" s="28"/>
      <c r="C33" s="23" t="s">
        <v>48</v>
      </c>
      <c r="D33" s="24"/>
      <c r="E33" s="5" t="s">
        <v>43</v>
      </c>
      <c r="F33" s="8">
        <f>+G33/20</f>
        <v>4020</v>
      </c>
      <c r="G33" s="8">
        <f>ROUND(+G9/E19,-2)</f>
        <v>80400</v>
      </c>
      <c r="H33" s="146"/>
      <c r="I33" s="22"/>
    </row>
    <row r="34" spans="3:9" ht="12.75">
      <c r="C34" s="23" t="s">
        <v>79</v>
      </c>
      <c r="D34" s="24"/>
      <c r="E34" s="5" t="s">
        <v>44</v>
      </c>
      <c r="F34" s="8">
        <f>+G34/20</f>
        <v>180</v>
      </c>
      <c r="G34" s="8">
        <f>ROUND(+G10/E20,-2)</f>
        <v>3600</v>
      </c>
      <c r="H34" s="146"/>
      <c r="I34" s="22"/>
    </row>
    <row r="35" spans="3:9" ht="12.75">
      <c r="C35" s="23" t="s">
        <v>50</v>
      </c>
      <c r="D35" s="24"/>
      <c r="E35" s="5" t="s">
        <v>81</v>
      </c>
      <c r="F35" s="8">
        <f>+G35/20</f>
        <v>1395</v>
      </c>
      <c r="G35" s="8">
        <f>ROUND(+G11/E21,-2)</f>
        <v>27900</v>
      </c>
      <c r="H35" s="146"/>
      <c r="I35" s="22"/>
    </row>
    <row r="36" spans="6:8" ht="12.75">
      <c r="F36" s="9"/>
      <c r="G36" s="9"/>
      <c r="H36" s="22"/>
    </row>
    <row r="37" spans="6:7" ht="12.75">
      <c r="F37" s="9"/>
      <c r="G37" s="9"/>
    </row>
    <row r="38" spans="6:7" ht="12.75">
      <c r="F38" s="9"/>
      <c r="G38" s="9"/>
    </row>
    <row r="39" spans="1:2" ht="19.5" customHeight="1">
      <c r="A39" s="32" t="s">
        <v>199</v>
      </c>
      <c r="B39" s="1"/>
    </row>
    <row r="40" spans="8:9" ht="12.75">
      <c r="H40" s="22"/>
      <c r="I40" s="22"/>
    </row>
    <row r="41" spans="2:9" ht="19.5" customHeight="1">
      <c r="B41" s="221" t="s">
        <v>201</v>
      </c>
      <c r="E41" s="4" t="s">
        <v>18</v>
      </c>
      <c r="F41" s="4" t="s">
        <v>19</v>
      </c>
      <c r="G41" s="4" t="s">
        <v>20</v>
      </c>
      <c r="H41" s="22"/>
      <c r="I41" s="22"/>
    </row>
    <row r="42" spans="2:9" ht="18.75" customHeight="1">
      <c r="B42" s="5" t="s">
        <v>12</v>
      </c>
      <c r="C42" s="23"/>
      <c r="D42" s="24"/>
      <c r="E42" s="5">
        <f>ROUND(G12/30.4/$D$23,0)</f>
        <v>180</v>
      </c>
      <c r="F42" s="14">
        <v>3000</v>
      </c>
      <c r="G42" s="14">
        <f>+E42*F42</f>
        <v>540000</v>
      </c>
      <c r="H42" s="146"/>
      <c r="I42" s="22"/>
    </row>
    <row r="43" spans="2:9" ht="15.75" customHeight="1">
      <c r="B43" s="5" t="s">
        <v>200</v>
      </c>
      <c r="C43" s="23"/>
      <c r="D43" s="24"/>
      <c r="E43" s="5"/>
      <c r="F43" s="5"/>
      <c r="G43" s="5"/>
      <c r="H43" s="146"/>
      <c r="I43" s="22"/>
    </row>
    <row r="44" spans="2:9" ht="12.75">
      <c r="B44" s="23"/>
      <c r="C44" s="24" t="s">
        <v>21</v>
      </c>
      <c r="D44" s="24"/>
      <c r="E44" s="8">
        <f>+G33</f>
        <v>80400</v>
      </c>
      <c r="F44" s="13">
        <f>+F19</f>
        <v>30</v>
      </c>
      <c r="G44" s="14">
        <f>+G33*F19</f>
        <v>2412000</v>
      </c>
      <c r="H44" s="222"/>
      <c r="I44" s="22"/>
    </row>
    <row r="45" spans="2:9" ht="12.75">
      <c r="B45" s="23"/>
      <c r="C45" s="24" t="s">
        <v>22</v>
      </c>
      <c r="D45" s="24"/>
      <c r="E45" s="8">
        <f>+G34</f>
        <v>3600</v>
      </c>
      <c r="F45" s="13">
        <f>+F20</f>
        <v>28</v>
      </c>
      <c r="G45" s="14">
        <f>+G34*F20</f>
        <v>100800</v>
      </c>
      <c r="H45" s="222"/>
      <c r="I45" s="22"/>
    </row>
    <row r="46" spans="2:9" ht="12.75">
      <c r="B46" s="23"/>
      <c r="C46" s="24" t="s">
        <v>154</v>
      </c>
      <c r="D46" s="24"/>
      <c r="E46" s="8">
        <f>+G35</f>
        <v>27900</v>
      </c>
      <c r="F46" s="13">
        <f>+F21</f>
        <v>23</v>
      </c>
      <c r="G46" s="14">
        <f>+G35*F21</f>
        <v>641700</v>
      </c>
      <c r="H46" s="146"/>
      <c r="I46" s="22"/>
    </row>
    <row r="47" spans="2:9" ht="18.75" customHeight="1">
      <c r="B47" s="3" t="s">
        <v>202</v>
      </c>
      <c r="C47" s="23"/>
      <c r="D47" s="25"/>
      <c r="E47" s="25"/>
      <c r="F47" s="24"/>
      <c r="G47" s="15">
        <f>ROUND(SUM(G42:G46),-3)</f>
        <v>3695000</v>
      </c>
      <c r="H47" s="223"/>
      <c r="I47" s="22"/>
    </row>
    <row r="50" ht="18.75" customHeight="1">
      <c r="A50" s="227" t="s">
        <v>205</v>
      </c>
    </row>
    <row r="51" spans="1:7" ht="16.5" customHeight="1">
      <c r="A51" s="228">
        <v>1</v>
      </c>
      <c r="B51" s="1101" t="s">
        <v>0</v>
      </c>
      <c r="C51" s="1101"/>
      <c r="D51" s="1101"/>
      <c r="E51" s="1101"/>
      <c r="F51" s="1101"/>
      <c r="G51" s="1101"/>
    </row>
    <row r="52" spans="1:2" ht="12.75">
      <c r="A52" s="1"/>
      <c r="B52" t="s">
        <v>204</v>
      </c>
    </row>
    <row r="53" spans="1:7" ht="42.75" customHeight="1">
      <c r="A53" s="228">
        <v>2</v>
      </c>
      <c r="B53" s="1101" t="s">
        <v>1</v>
      </c>
      <c r="C53" s="1101"/>
      <c r="D53" s="1101"/>
      <c r="E53" s="1101"/>
      <c r="F53" s="1101"/>
      <c r="G53" s="1101"/>
    </row>
    <row r="54" spans="1:2" ht="12.75">
      <c r="A54" s="1"/>
      <c r="B54" t="s">
        <v>204</v>
      </c>
    </row>
    <row r="55" ht="12.75">
      <c r="B55" t="s">
        <v>204</v>
      </c>
    </row>
  </sheetData>
  <sheetProtection password="C7CA" sheet="1" objects="1" scenarios="1"/>
  <mergeCells count="11">
    <mergeCell ref="A1:I1"/>
    <mergeCell ref="B3:I3"/>
    <mergeCell ref="A6:H6"/>
    <mergeCell ref="B8:E8"/>
    <mergeCell ref="B9:E9"/>
    <mergeCell ref="B51:G51"/>
    <mergeCell ref="B53:G53"/>
    <mergeCell ref="B17:F17"/>
    <mergeCell ref="B23:C23"/>
    <mergeCell ref="E28:G28"/>
    <mergeCell ref="E30:G30"/>
  </mergeCells>
  <conditionalFormatting sqref="G15">
    <cfRule type="cellIs" priority="1" dxfId="5" operator="greaterThan" stopIfTrue="1">
      <formula>0</formula>
    </cfRule>
    <cfRule type="cellIs" priority="2" dxfId="6" operator="lessThan" stopIfTrue="1">
      <formula>0</formula>
    </cfRule>
  </conditionalFormatting>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J56"/>
  <sheetViews>
    <sheetView zoomScale="75" zoomScaleNormal="75" workbookViewId="0" topLeftCell="A1">
      <selection activeCell="A1" sqref="A1:I1"/>
    </sheetView>
  </sheetViews>
  <sheetFormatPr defaultColWidth="9.140625" defaultRowHeight="12.75"/>
  <cols>
    <col min="1" max="1" width="12.57421875" style="0" customWidth="1"/>
    <col min="2" max="2" width="16.140625" style="0" customWidth="1"/>
    <col min="3" max="3" width="19.8515625" style="0" customWidth="1"/>
    <col min="4" max="4" width="18.8515625" style="0" customWidth="1"/>
    <col min="5" max="5" width="14.7109375" style="0" customWidth="1"/>
    <col min="6" max="6" width="16.28125" style="0" customWidth="1"/>
    <col min="7" max="7" width="16.421875" style="0" customWidth="1"/>
    <col min="8" max="8" width="9.7109375" style="0" customWidth="1"/>
  </cols>
  <sheetData>
    <row r="1" spans="1:10" ht="15.75">
      <c r="A1" s="1046" t="s">
        <v>83</v>
      </c>
      <c r="B1" s="1046"/>
      <c r="C1" s="1046"/>
      <c r="D1" s="1046"/>
      <c r="E1" s="1046"/>
      <c r="F1" s="1046"/>
      <c r="G1" s="1046"/>
      <c r="H1" s="1046"/>
      <c r="I1" s="1046"/>
      <c r="J1" s="309"/>
    </row>
    <row r="2" spans="1:10" ht="13.5" thickBot="1">
      <c r="A2" s="309"/>
      <c r="B2" s="309"/>
      <c r="C2" s="309"/>
      <c r="D2" s="309"/>
      <c r="E2" s="309"/>
      <c r="F2" s="309"/>
      <c r="G2" s="309"/>
      <c r="H2" s="309"/>
      <c r="I2" s="309"/>
      <c r="J2" s="309"/>
    </row>
    <row r="3" spans="1:10" ht="32.25" customHeight="1" thickBot="1" thickTop="1">
      <c r="A3" s="309"/>
      <c r="B3" s="1113" t="s">
        <v>196</v>
      </c>
      <c r="C3" s="1114"/>
      <c r="D3" s="1114"/>
      <c r="E3" s="1114"/>
      <c r="F3" s="1114"/>
      <c r="G3" s="1114"/>
      <c r="H3" s="1114"/>
      <c r="I3" s="1115"/>
      <c r="J3" s="309"/>
    </row>
    <row r="4" spans="1:10" ht="24" customHeight="1" thickTop="1">
      <c r="A4" s="308"/>
      <c r="B4" s="308"/>
      <c r="C4" s="308"/>
      <c r="D4" s="308"/>
      <c r="E4" s="308"/>
      <c r="F4" s="308"/>
      <c r="G4" s="308"/>
      <c r="H4" s="308"/>
      <c r="I4" s="309"/>
      <c r="J4" s="309"/>
    </row>
    <row r="5" spans="1:8" ht="20.25">
      <c r="A5" s="30"/>
      <c r="B5" s="30"/>
      <c r="C5" s="30"/>
      <c r="D5" s="30"/>
      <c r="E5" s="30"/>
      <c r="F5" s="30"/>
      <c r="G5" s="30"/>
      <c r="H5" s="30"/>
    </row>
    <row r="6" spans="1:8" ht="26.25">
      <c r="A6" s="980" t="s">
        <v>189</v>
      </c>
      <c r="B6" s="980"/>
      <c r="C6" s="980"/>
      <c r="D6" s="980"/>
      <c r="E6" s="980"/>
      <c r="F6" s="980"/>
      <c r="G6" s="980"/>
      <c r="H6" s="980"/>
    </row>
    <row r="7" ht="21" thickBot="1">
      <c r="H7" s="30"/>
    </row>
    <row r="8" spans="2:7" ht="16.5" thickTop="1">
      <c r="B8" s="995" t="s">
        <v>51</v>
      </c>
      <c r="C8" s="996"/>
      <c r="D8" s="996"/>
      <c r="E8" s="997"/>
      <c r="F8" s="61" t="s">
        <v>40</v>
      </c>
      <c r="G8" s="62" t="s">
        <v>65</v>
      </c>
    </row>
    <row r="9" spans="2:7" ht="12.75">
      <c r="B9" s="1021" t="s">
        <v>67</v>
      </c>
      <c r="C9" s="1022"/>
      <c r="D9" s="1022"/>
      <c r="E9" s="1023"/>
      <c r="F9" s="5" t="s">
        <v>48</v>
      </c>
      <c r="G9" s="63">
        <f>+'Scenario Costs Provincial'!G7</f>
        <v>353591</v>
      </c>
    </row>
    <row r="10" spans="2:7" ht="12.75">
      <c r="B10" s="64"/>
      <c r="C10" s="22"/>
      <c r="D10" s="22"/>
      <c r="E10" s="22"/>
      <c r="F10" s="5" t="s">
        <v>49</v>
      </c>
      <c r="G10" s="63">
        <f>+'Scenario Costs Provincial'!G8</f>
        <v>14049</v>
      </c>
    </row>
    <row r="11" spans="2:7" ht="12.75">
      <c r="B11" s="64"/>
      <c r="C11" s="22"/>
      <c r="D11" s="22"/>
      <c r="E11" s="22"/>
      <c r="F11" s="5" t="s">
        <v>50</v>
      </c>
      <c r="G11" s="63">
        <f>+'Scenario Costs Provincial'!G9</f>
        <v>34160</v>
      </c>
    </row>
    <row r="12" spans="2:7" ht="12.75">
      <c r="B12" s="64"/>
      <c r="C12" s="22"/>
      <c r="D12" s="22"/>
      <c r="E12" s="22"/>
      <c r="F12" s="5" t="s">
        <v>56</v>
      </c>
      <c r="G12" s="63">
        <f>SUM(G9:G11)</f>
        <v>401800</v>
      </c>
    </row>
    <row r="13" spans="2:7" ht="13.5" thickBot="1">
      <c r="B13" s="65"/>
      <c r="C13" s="66"/>
      <c r="D13" s="66"/>
      <c r="E13" s="66"/>
      <c r="F13" s="67"/>
      <c r="G13" s="68"/>
    </row>
    <row r="14" spans="7:8" ht="21" thickTop="1">
      <c r="G14" s="10"/>
      <c r="H14" s="30"/>
    </row>
    <row r="15" spans="6:8" ht="20.25">
      <c r="F15" s="468" t="s">
        <v>631</v>
      </c>
      <c r="G15" s="810">
        <f>'Scenario Costs Provincial'!D9</f>
        <v>-0.3</v>
      </c>
      <c r="H15" s="30"/>
    </row>
    <row r="16" spans="7:8" ht="21" thickBot="1">
      <c r="G16" s="10"/>
      <c r="H16" s="30"/>
    </row>
    <row r="17" spans="2:8" ht="20.25">
      <c r="B17" s="1117" t="s">
        <v>68</v>
      </c>
      <c r="C17" s="1118"/>
      <c r="D17" s="1118"/>
      <c r="E17" s="1118"/>
      <c r="F17" s="1119"/>
      <c r="G17" s="10"/>
      <c r="H17" s="30"/>
    </row>
    <row r="18" spans="2:6" ht="54" customHeight="1">
      <c r="B18" s="208" t="s">
        <v>69</v>
      </c>
      <c r="C18" s="76" t="s">
        <v>77</v>
      </c>
      <c r="D18" s="71"/>
      <c r="E18" s="76" t="s">
        <v>78</v>
      </c>
      <c r="F18" s="209" t="s">
        <v>203</v>
      </c>
    </row>
    <row r="19" spans="2:6" ht="12.75">
      <c r="B19" s="210" t="s">
        <v>43</v>
      </c>
      <c r="C19" s="229">
        <v>0.7</v>
      </c>
      <c r="D19" s="71"/>
      <c r="E19" s="82">
        <v>9</v>
      </c>
      <c r="F19" s="211">
        <v>30</v>
      </c>
    </row>
    <row r="20" spans="2:6" ht="12.75">
      <c r="B20" s="210" t="s">
        <v>70</v>
      </c>
      <c r="C20" s="229">
        <v>0.35</v>
      </c>
      <c r="D20" s="71"/>
      <c r="E20" s="82">
        <v>8</v>
      </c>
      <c r="F20" s="211">
        <v>28</v>
      </c>
    </row>
    <row r="21" spans="2:6" ht="12.75">
      <c r="B21" s="210" t="s">
        <v>81</v>
      </c>
      <c r="C21" s="82"/>
      <c r="D21" s="71"/>
      <c r="E21" s="82">
        <v>2.5</v>
      </c>
      <c r="F21" s="211">
        <v>23</v>
      </c>
    </row>
    <row r="22" spans="2:6" ht="12.75">
      <c r="B22" s="212"/>
      <c r="C22" s="77"/>
      <c r="D22" s="78"/>
      <c r="E22" s="77"/>
      <c r="F22" s="213"/>
    </row>
    <row r="23" spans="2:6" ht="37.5" customHeight="1">
      <c r="B23" s="1105" t="s">
        <v>197</v>
      </c>
      <c r="C23" s="1106"/>
      <c r="D23" s="216">
        <v>150</v>
      </c>
      <c r="E23" s="217" t="s">
        <v>155</v>
      </c>
      <c r="F23" s="370">
        <v>3000</v>
      </c>
    </row>
    <row r="24" spans="2:6" ht="13.5" thickBot="1">
      <c r="B24" s="218"/>
      <c r="C24" s="219"/>
      <c r="D24" s="219"/>
      <c r="E24" s="219"/>
      <c r="F24" s="220"/>
    </row>
    <row r="28" spans="5:7" ht="18">
      <c r="E28" s="1107" t="s">
        <v>198</v>
      </c>
      <c r="F28" s="1108"/>
      <c r="G28" s="1109"/>
    </row>
    <row r="29" spans="5:7" ht="12.75">
      <c r="E29" s="146"/>
      <c r="F29" s="22"/>
      <c r="G29" s="114"/>
    </row>
    <row r="30" spans="5:7" ht="15.75">
      <c r="E30" s="1110" t="s">
        <v>164</v>
      </c>
      <c r="F30" s="1111"/>
      <c r="G30" s="1112"/>
    </row>
    <row r="31" spans="5:7" ht="12.75">
      <c r="E31" s="198"/>
      <c r="F31" s="400"/>
      <c r="G31" s="54"/>
    </row>
    <row r="32" spans="1:7" ht="29.25" customHeight="1">
      <c r="A32" s="32" t="s">
        <v>47</v>
      </c>
      <c r="E32" s="7" t="s">
        <v>40</v>
      </c>
      <c r="F32" s="7" t="s">
        <v>41</v>
      </c>
      <c r="G32" s="7" t="s">
        <v>42</v>
      </c>
    </row>
    <row r="33" spans="1:7" ht="15.75">
      <c r="A33" s="28"/>
      <c r="C33" s="23" t="s">
        <v>48</v>
      </c>
      <c r="D33" s="24"/>
      <c r="E33" s="5" t="s">
        <v>43</v>
      </c>
      <c r="F33" s="8">
        <f>+G33/20</f>
        <v>1965</v>
      </c>
      <c r="G33" s="8">
        <f>ROUND(+G9/E19,-2)</f>
        <v>39300</v>
      </c>
    </row>
    <row r="34" spans="3:7" ht="12.75">
      <c r="C34" s="23" t="s">
        <v>79</v>
      </c>
      <c r="D34" s="24"/>
      <c r="E34" s="5" t="s">
        <v>44</v>
      </c>
      <c r="F34" s="8">
        <f>+G34/20</f>
        <v>90</v>
      </c>
      <c r="G34" s="8">
        <f>ROUND(+G10/E20,-2)</f>
        <v>1800</v>
      </c>
    </row>
    <row r="35" spans="3:7" ht="12.75">
      <c r="C35" s="23" t="s">
        <v>50</v>
      </c>
      <c r="D35" s="24"/>
      <c r="E35" s="5" t="s">
        <v>81</v>
      </c>
      <c r="F35" s="8">
        <f>+G35/20</f>
        <v>685</v>
      </c>
      <c r="G35" s="8">
        <f>ROUND(+G11/E21,-2)</f>
        <v>13700</v>
      </c>
    </row>
    <row r="36" spans="6:7" ht="12.75">
      <c r="F36" s="9"/>
      <c r="G36" s="9"/>
    </row>
    <row r="37" spans="6:7" ht="12.75">
      <c r="F37" s="9"/>
      <c r="G37" s="9"/>
    </row>
    <row r="38" spans="6:7" ht="12.75">
      <c r="F38" s="9"/>
      <c r="G38" s="9"/>
    </row>
    <row r="39" spans="1:2" ht="15.75">
      <c r="A39" s="32" t="s">
        <v>199</v>
      </c>
      <c r="B39" s="1"/>
    </row>
    <row r="41" spans="2:7" ht="24.75" customHeight="1">
      <c r="B41" s="221" t="s">
        <v>201</v>
      </c>
      <c r="E41" s="4" t="s">
        <v>18</v>
      </c>
      <c r="F41" s="4" t="s">
        <v>19</v>
      </c>
      <c r="G41" s="4" t="s">
        <v>20</v>
      </c>
    </row>
    <row r="42" spans="2:7" ht="15.75" customHeight="1">
      <c r="B42" s="5" t="s">
        <v>12</v>
      </c>
      <c r="C42" s="23"/>
      <c r="D42" s="24"/>
      <c r="E42" s="5">
        <f>ROUND(G12/30.4/$D$23,0)</f>
        <v>88</v>
      </c>
      <c r="F42" s="14">
        <v>3000</v>
      </c>
      <c r="G42" s="14">
        <f>+E42*F42</f>
        <v>264000</v>
      </c>
    </row>
    <row r="43" spans="2:7" ht="18" customHeight="1">
      <c r="B43" s="5" t="s">
        <v>200</v>
      </c>
      <c r="C43" s="23"/>
      <c r="D43" s="24"/>
      <c r="E43" s="5"/>
      <c r="F43" s="5"/>
      <c r="G43" s="5"/>
    </row>
    <row r="44" spans="2:7" ht="12.75">
      <c r="B44" s="23"/>
      <c r="C44" s="24" t="s">
        <v>21</v>
      </c>
      <c r="D44" s="24"/>
      <c r="E44" s="8">
        <f>+G33</f>
        <v>39300</v>
      </c>
      <c r="F44" s="13">
        <f>+F19</f>
        <v>30</v>
      </c>
      <c r="G44" s="14">
        <f>+G33*F19</f>
        <v>1179000</v>
      </c>
    </row>
    <row r="45" spans="2:7" ht="12.75">
      <c r="B45" s="23"/>
      <c r="C45" s="24" t="s">
        <v>22</v>
      </c>
      <c r="D45" s="24"/>
      <c r="E45" s="8">
        <f>+G34</f>
        <v>1800</v>
      </c>
      <c r="F45" s="13">
        <f>+F20</f>
        <v>28</v>
      </c>
      <c r="G45" s="14">
        <f>+G34*F20</f>
        <v>50400</v>
      </c>
    </row>
    <row r="46" spans="2:7" ht="12.75">
      <c r="B46" s="23"/>
      <c r="C46" s="24" t="s">
        <v>154</v>
      </c>
      <c r="D46" s="24"/>
      <c r="E46" s="8">
        <f>+G35</f>
        <v>13700</v>
      </c>
      <c r="F46" s="13">
        <f>+F21</f>
        <v>23</v>
      </c>
      <c r="G46" s="14">
        <f>+G35*F21</f>
        <v>315100</v>
      </c>
    </row>
    <row r="47" spans="2:7" ht="21" customHeight="1">
      <c r="B47" s="3" t="s">
        <v>202</v>
      </c>
      <c r="C47" s="23"/>
      <c r="D47" s="25"/>
      <c r="E47" s="25"/>
      <c r="F47" s="24"/>
      <c r="G47" s="15">
        <f>ROUND(SUM(G42:G46),-3)</f>
        <v>1809000</v>
      </c>
    </row>
    <row r="51" ht="18.75" customHeight="1">
      <c r="A51" s="227" t="s">
        <v>205</v>
      </c>
    </row>
    <row r="52" spans="1:7" ht="78.75" customHeight="1">
      <c r="A52" s="228">
        <v>1</v>
      </c>
      <c r="B52" s="1101" t="s">
        <v>262</v>
      </c>
      <c r="C52" s="1101"/>
      <c r="D52" s="1101"/>
      <c r="E52" s="1101"/>
      <c r="F52" s="1101"/>
      <c r="G52" s="1101"/>
    </row>
    <row r="53" spans="1:2" ht="12.75">
      <c r="A53" s="1"/>
      <c r="B53" t="s">
        <v>204</v>
      </c>
    </row>
    <row r="54" spans="1:7" ht="80.25" customHeight="1">
      <c r="A54" s="228">
        <v>2</v>
      </c>
      <c r="B54" s="1101" t="s">
        <v>263</v>
      </c>
      <c r="C54" s="1101"/>
      <c r="D54" s="1101"/>
      <c r="E54" s="1101"/>
      <c r="F54" s="1101"/>
      <c r="G54" s="1101"/>
    </row>
    <row r="55" spans="1:2" ht="12.75">
      <c r="A55" s="1"/>
      <c r="B55" t="s">
        <v>204</v>
      </c>
    </row>
    <row r="56" spans="1:7" ht="54" customHeight="1">
      <c r="A56" s="228">
        <v>3</v>
      </c>
      <c r="B56" s="1101" t="s">
        <v>264</v>
      </c>
      <c r="C56" s="1101"/>
      <c r="D56" s="1101"/>
      <c r="E56" s="1101"/>
      <c r="F56" s="1101"/>
      <c r="G56" s="1101"/>
    </row>
  </sheetData>
  <sheetProtection password="DAA7" sheet="1" objects="1" scenarios="1"/>
  <mergeCells count="12">
    <mergeCell ref="A1:I1"/>
    <mergeCell ref="B3:I3"/>
    <mergeCell ref="A6:H6"/>
    <mergeCell ref="B8:E8"/>
    <mergeCell ref="B9:E9"/>
    <mergeCell ref="B52:G52"/>
    <mergeCell ref="B54:G54"/>
    <mergeCell ref="B56:G56"/>
    <mergeCell ref="B17:F17"/>
    <mergeCell ref="B23:C23"/>
    <mergeCell ref="E28:G28"/>
    <mergeCell ref="E30:G30"/>
  </mergeCells>
  <conditionalFormatting sqref="G15">
    <cfRule type="cellIs" priority="1" dxfId="5" operator="greaterThan" stopIfTrue="1">
      <formula>0</formula>
    </cfRule>
    <cfRule type="cellIs" priority="2" dxfId="6" operator="lessThan" stopIfTrue="1">
      <formula>0</formula>
    </cfRule>
  </conditionalFormatting>
  <printOptions/>
  <pageMargins left="0.58" right="0.4" top="0.62" bottom="1" header="0.5" footer="0.5"/>
  <pageSetup fitToHeight="1" fitToWidth="1" horizontalDpi="300" verticalDpi="300" orientation="portrait" paperSize="9" scale="66" r:id="rId2"/>
  <drawing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B1:M29"/>
  <sheetViews>
    <sheetView workbookViewId="0" topLeftCell="A1">
      <selection activeCell="A1" sqref="A1"/>
    </sheetView>
  </sheetViews>
  <sheetFormatPr defaultColWidth="9.140625" defaultRowHeight="12.75"/>
  <cols>
    <col min="1" max="1" width="5.140625" style="0" customWidth="1"/>
    <col min="2" max="2" width="24.421875" style="0" customWidth="1"/>
    <col min="3" max="3" width="11.00390625" style="0" customWidth="1"/>
    <col min="4" max="9" width="11.57421875" style="0" customWidth="1"/>
    <col min="10" max="10" width="11.57421875" style="0" bestFit="1" customWidth="1"/>
    <col min="11" max="11" width="2.57421875" style="0" customWidth="1"/>
  </cols>
  <sheetData>
    <row r="1" spans="2:13" ht="16.5" customHeight="1">
      <c r="B1" s="1120" t="s">
        <v>629</v>
      </c>
      <c r="C1" s="1120"/>
      <c r="D1" s="1120"/>
      <c r="E1" s="1120"/>
      <c r="F1" s="1120"/>
      <c r="G1" s="1120"/>
      <c r="H1" s="1120"/>
      <c r="I1" s="1120"/>
      <c r="J1" s="1120"/>
      <c r="K1" s="809"/>
      <c r="L1" s="809"/>
      <c r="M1" s="809"/>
    </row>
    <row r="2" spans="2:10" ht="9" customHeight="1">
      <c r="B2" s="1120"/>
      <c r="C2" s="1120"/>
      <c r="D2" s="1120"/>
      <c r="E2" s="1120"/>
      <c r="F2" s="1120"/>
      <c r="G2" s="1120"/>
      <c r="H2" s="1120"/>
      <c r="I2" s="1120"/>
      <c r="J2" s="1120"/>
    </row>
    <row r="4" spans="2:10" ht="23.25">
      <c r="B4" s="1121" t="s">
        <v>630</v>
      </c>
      <c r="C4" s="1121"/>
      <c r="D4" s="1121"/>
      <c r="E4" s="1121"/>
      <c r="F4" s="1121"/>
      <c r="G4" s="1121"/>
      <c r="H4" s="1121"/>
      <c r="I4" s="1121"/>
      <c r="J4" s="1121"/>
    </row>
    <row r="5" spans="2:10" ht="15.75">
      <c r="B5" s="811"/>
      <c r="C5" s="811"/>
      <c r="D5" s="811"/>
      <c r="E5" s="811"/>
      <c r="F5" s="811"/>
      <c r="G5" s="811"/>
      <c r="H5" s="811"/>
      <c r="I5" s="811"/>
      <c r="J5" s="811"/>
    </row>
    <row r="6" spans="4:10" ht="18.75" customHeight="1">
      <c r="D6" s="957" t="s">
        <v>635</v>
      </c>
      <c r="E6" s="958"/>
      <c r="F6" s="958"/>
      <c r="G6" s="958"/>
      <c r="H6" s="958"/>
      <c r="I6" s="958"/>
      <c r="J6" s="959"/>
    </row>
    <row r="7" spans="2:10" ht="30.75" customHeight="1">
      <c r="B7" s="814" t="s">
        <v>636</v>
      </c>
      <c r="C7" s="24"/>
      <c r="D7" s="808" t="s">
        <v>687</v>
      </c>
      <c r="E7" s="808" t="s">
        <v>623</v>
      </c>
      <c r="F7" s="808" t="s">
        <v>638</v>
      </c>
      <c r="G7" s="808" t="s">
        <v>686</v>
      </c>
      <c r="H7" s="808" t="s">
        <v>685</v>
      </c>
      <c r="I7" s="808" t="s">
        <v>624</v>
      </c>
      <c r="J7" s="813" t="s">
        <v>637</v>
      </c>
    </row>
    <row r="8" spans="2:10" ht="12.75">
      <c r="B8" s="1124" t="s">
        <v>625</v>
      </c>
      <c r="C8" s="1125"/>
      <c r="D8" s="922">
        <f>'Scenario Costs Provincial'!$G$103</f>
        <v>950200</v>
      </c>
      <c r="E8" s="922">
        <f>'Scenario Costs Provincial'!$L$103</f>
        <v>858300</v>
      </c>
      <c r="F8" s="922">
        <f>'Scenario Costs Provincial'!$P$103</f>
        <v>727300</v>
      </c>
      <c r="G8" s="922">
        <f>'Scenario Costs Provincial'!$X$103</f>
        <v>789700</v>
      </c>
      <c r="H8" s="923">
        <f>'Scenario Costs Provincial'!$T$103</f>
        <v>808200</v>
      </c>
      <c r="I8" s="923">
        <f>'Scenario Costs Provincial'!$AB$103</f>
        <v>779200</v>
      </c>
      <c r="J8" s="815"/>
    </row>
    <row r="9" spans="2:10" ht="12.75">
      <c r="B9" s="1124" t="s">
        <v>626</v>
      </c>
      <c r="C9" s="1125"/>
      <c r="D9" s="922">
        <f>'Scenario Costs Provincial'!$G$109</f>
        <v>210000</v>
      </c>
      <c r="E9" s="922">
        <f>'Scenario Costs Provincial'!$L$109</f>
        <v>327000</v>
      </c>
      <c r="F9" s="922">
        <f>'Scenario Costs Provincial'!$P$109</f>
        <v>216000</v>
      </c>
      <c r="G9" s="922">
        <f>'Scenario Costs Provincial'!$X$109</f>
        <v>372000</v>
      </c>
      <c r="H9" s="924">
        <f>'Scenario Costs Provincial'!$T$109</f>
        <v>254000</v>
      </c>
      <c r="I9" s="924">
        <f>'Scenario Costs Provincial'!$AB$109</f>
        <v>266000</v>
      </c>
      <c r="J9" s="816"/>
    </row>
    <row r="10" spans="2:10" ht="12.75">
      <c r="B10" s="1124" t="s">
        <v>634</v>
      </c>
      <c r="C10" s="1125"/>
      <c r="D10" s="922">
        <f>'Scenario Costs Provincial'!$G$116</f>
        <v>0</v>
      </c>
      <c r="E10" s="922">
        <f>'Scenario Costs Provincial'!$L$116</f>
        <v>52000</v>
      </c>
      <c r="F10" s="922">
        <f>'Scenario Costs Provincial'!$P$116</f>
        <v>40000</v>
      </c>
      <c r="G10" s="922">
        <f>'Scenario Costs Provincial'!$X$116</f>
        <v>104000</v>
      </c>
      <c r="H10" s="924">
        <f>'Scenario Costs Provincial'!$T$116</f>
        <v>47000</v>
      </c>
      <c r="I10" s="924">
        <f>'Scenario Costs Provincial'!$AB$116</f>
        <v>104000</v>
      </c>
      <c r="J10" s="816"/>
    </row>
    <row r="11" spans="2:10" ht="12.75">
      <c r="B11" s="1124" t="s">
        <v>627</v>
      </c>
      <c r="C11" s="1125"/>
      <c r="D11" s="922">
        <f>'Scenario Costs Provincial'!$F$128</f>
        <v>933000</v>
      </c>
      <c r="E11" s="922">
        <f>'Scenario Costs Provincial'!$K$128</f>
        <v>872000</v>
      </c>
      <c r="F11" s="922">
        <f>'Scenario Costs Provincial'!$O$128</f>
        <v>872000</v>
      </c>
      <c r="G11" s="922">
        <f>'Scenario Costs Provincial'!$W$128</f>
        <v>872000</v>
      </c>
      <c r="H11" s="925">
        <f>'Scenario Costs Provincial'!S128</f>
        <v>872000</v>
      </c>
      <c r="I11" s="925">
        <f>'Scenario Costs Provincial'!AA128</f>
        <v>872000</v>
      </c>
      <c r="J11" s="817"/>
    </row>
    <row r="12" spans="2:10" ht="15.75" customHeight="1">
      <c r="B12" s="26"/>
      <c r="C12" s="27" t="s">
        <v>628</v>
      </c>
      <c r="D12" s="348">
        <f aca="true" t="shared" si="0" ref="D12:I12">SUM(D8:D11)</f>
        <v>2093200</v>
      </c>
      <c r="E12" s="348">
        <f t="shared" si="0"/>
        <v>2109300</v>
      </c>
      <c r="F12" s="348">
        <f t="shared" si="0"/>
        <v>1855300</v>
      </c>
      <c r="G12" s="348">
        <f t="shared" si="0"/>
        <v>2137700</v>
      </c>
      <c r="H12" s="348">
        <f t="shared" si="0"/>
        <v>1981200</v>
      </c>
      <c r="I12" s="348">
        <f t="shared" si="0"/>
        <v>2021200</v>
      </c>
      <c r="J12" s="928">
        <f>'Status quo costs Provincial '!G47</f>
        <v>1809000</v>
      </c>
    </row>
    <row r="13" ht="8.25" customHeight="1"/>
    <row r="14" spans="2:10" ht="24.75" customHeight="1">
      <c r="B14" s="1123" t="s">
        <v>633</v>
      </c>
      <c r="C14" s="1123"/>
      <c r="D14" s="926">
        <f>'Scenario Costs Provincial'!G90</f>
        <v>210000</v>
      </c>
      <c r="E14" s="926">
        <f>'Scenario Costs Provincial'!L90</f>
        <v>300000</v>
      </c>
      <c r="F14" s="926">
        <f>'Scenario Costs Provincial'!P90</f>
        <v>180000</v>
      </c>
      <c r="G14" s="926">
        <f>'Scenario Costs Provincial'!X90</f>
        <v>360000</v>
      </c>
      <c r="H14" s="926">
        <f>'Scenario Costs Provincial'!$T$90</f>
        <v>210000</v>
      </c>
      <c r="I14" s="926">
        <f>'Scenario Costs Provincial'!$AB$90</f>
        <v>390000</v>
      </c>
      <c r="J14" s="927">
        <f>'Status quo costs Provincial '!G42</f>
        <v>264000</v>
      </c>
    </row>
    <row r="15" ht="15.75" customHeight="1"/>
    <row r="16" spans="6:9" ht="13.5" customHeight="1">
      <c r="F16" s="469" t="s">
        <v>632</v>
      </c>
      <c r="G16" s="812">
        <f>'Scenario Costs Provincial'!D9</f>
        <v>-0.3</v>
      </c>
      <c r="H16" s="812"/>
      <c r="I16" s="812"/>
    </row>
    <row r="27" spans="10:11" ht="12.75">
      <c r="J27" s="1122"/>
      <c r="K27" s="818"/>
    </row>
    <row r="28" spans="10:11" ht="12.75">
      <c r="J28" s="1122"/>
      <c r="K28" s="818"/>
    </row>
    <row r="29" spans="10:11" ht="12.75">
      <c r="J29" s="819"/>
      <c r="K29" s="820"/>
    </row>
  </sheetData>
  <mergeCells count="9">
    <mergeCell ref="B1:J2"/>
    <mergeCell ref="B4:J4"/>
    <mergeCell ref="J27:J28"/>
    <mergeCell ref="B14:C14"/>
    <mergeCell ref="B8:C8"/>
    <mergeCell ref="B9:C9"/>
    <mergeCell ref="B10:C10"/>
    <mergeCell ref="B11:C11"/>
    <mergeCell ref="D6:J6"/>
  </mergeCells>
  <conditionalFormatting sqref="G16:I16">
    <cfRule type="cellIs" priority="1" dxfId="5" operator="greaterThan" stopIfTrue="1">
      <formula>0</formula>
    </cfRule>
    <cfRule type="cellIs" priority="2" dxfId="6" operator="lessThan" stopIfTrue="1">
      <formula>0</formula>
    </cfRule>
  </conditionalFormatting>
  <printOptions/>
  <pageMargins left="0.58" right="0.47" top="0.86" bottom="1" header="0.5" footer="0.5"/>
  <pageSetup fitToHeight="1" fitToWidth="1" horizontalDpi="300" verticalDpi="300" orientation="portrait" paperSize="9" scale="77" r:id="rId2"/>
  <headerFooter alignWithMargins="0">
    <oddFooter>&amp;C&amp;8&amp;F &amp;D &amp;T</oddFooter>
  </headerFooter>
  <drawing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B1:M29"/>
  <sheetViews>
    <sheetView workbookViewId="0" topLeftCell="A1">
      <selection activeCell="L12" sqref="L12"/>
    </sheetView>
  </sheetViews>
  <sheetFormatPr defaultColWidth="9.140625" defaultRowHeight="12.75"/>
  <cols>
    <col min="1" max="1" width="5.140625" style="0" customWidth="1"/>
    <col min="2" max="2" width="24.421875" style="0" customWidth="1"/>
    <col min="3" max="3" width="11.00390625" style="0" customWidth="1"/>
    <col min="4" max="9" width="11.57421875" style="0" customWidth="1"/>
    <col min="10" max="10" width="11.57421875" style="0" bestFit="1" customWidth="1"/>
    <col min="11" max="11" width="2.57421875" style="0" customWidth="1"/>
  </cols>
  <sheetData>
    <row r="1" spans="2:13" ht="16.5" customHeight="1">
      <c r="B1" s="1120" t="s">
        <v>629</v>
      </c>
      <c r="C1" s="1120"/>
      <c r="D1" s="1120"/>
      <c r="E1" s="1120"/>
      <c r="F1" s="1120"/>
      <c r="G1" s="1120"/>
      <c r="H1" s="1120"/>
      <c r="I1" s="1120"/>
      <c r="J1" s="1120"/>
      <c r="K1" s="809"/>
      <c r="L1" s="809"/>
      <c r="M1" s="809"/>
    </row>
    <row r="2" spans="2:10" ht="9" customHeight="1">
      <c r="B2" s="1120"/>
      <c r="C2" s="1120"/>
      <c r="D2" s="1120"/>
      <c r="E2" s="1120"/>
      <c r="F2" s="1120"/>
      <c r="G2" s="1120"/>
      <c r="H2" s="1120"/>
      <c r="I2" s="1120"/>
      <c r="J2" s="1120"/>
    </row>
    <row r="4" spans="2:10" ht="23.25">
      <c r="B4" s="1121" t="s">
        <v>630</v>
      </c>
      <c r="C4" s="1121"/>
      <c r="D4" s="1121"/>
      <c r="E4" s="1121"/>
      <c r="F4" s="1121"/>
      <c r="G4" s="1121"/>
      <c r="H4" s="1121"/>
      <c r="I4" s="1121"/>
      <c r="J4" s="1121"/>
    </row>
    <row r="5" spans="2:10" ht="15.75">
      <c r="B5" s="811"/>
      <c r="C5" s="811"/>
      <c r="D5" s="811"/>
      <c r="E5" s="811"/>
      <c r="F5" s="811"/>
      <c r="G5" s="811"/>
      <c r="H5" s="811"/>
      <c r="I5" s="811"/>
      <c r="J5" s="811"/>
    </row>
    <row r="6" spans="4:10" ht="18.75" customHeight="1">
      <c r="D6" s="957" t="s">
        <v>635</v>
      </c>
      <c r="E6" s="958"/>
      <c r="F6" s="958"/>
      <c r="G6" s="958"/>
      <c r="H6" s="958"/>
      <c r="I6" s="958"/>
      <c r="J6" s="959"/>
    </row>
    <row r="7" spans="2:10" ht="30.75" customHeight="1">
      <c r="B7" s="814" t="s">
        <v>636</v>
      </c>
      <c r="C7" s="24"/>
      <c r="D7" s="808" t="s">
        <v>687</v>
      </c>
      <c r="E7" s="808" t="s">
        <v>623</v>
      </c>
      <c r="F7" s="808" t="s">
        <v>638</v>
      </c>
      <c r="G7" s="808" t="s">
        <v>686</v>
      </c>
      <c r="H7" s="808" t="s">
        <v>685</v>
      </c>
      <c r="I7" s="808" t="s">
        <v>624</v>
      </c>
      <c r="J7" s="813" t="s">
        <v>637</v>
      </c>
    </row>
    <row r="8" spans="2:10" ht="12.75">
      <c r="B8" s="1124" t="s">
        <v>625</v>
      </c>
      <c r="C8" s="1125"/>
      <c r="D8" s="922">
        <f>'Scenario Costs Provincial'!$G$103</f>
        <v>950200</v>
      </c>
      <c r="E8" s="922">
        <f>'Scenario Costs Provincial'!$L$103</f>
        <v>858300</v>
      </c>
      <c r="F8" s="922">
        <f>'Scenario Costs Provincial'!$P$103</f>
        <v>727300</v>
      </c>
      <c r="G8" s="922">
        <f>'Scenario Costs Provincial'!$X$103</f>
        <v>789700</v>
      </c>
      <c r="H8" s="923">
        <f>'Scenario Costs Provincial'!$T$103</f>
        <v>808200</v>
      </c>
      <c r="I8" s="923">
        <f>'Scenario Costs Provincial'!$AB$103</f>
        <v>779200</v>
      </c>
      <c r="J8" s="815"/>
    </row>
    <row r="9" spans="2:10" ht="12.75">
      <c r="B9" s="1124" t="s">
        <v>626</v>
      </c>
      <c r="C9" s="1125"/>
      <c r="D9" s="922">
        <f>'Scenario Costs Provincial'!$G$109</f>
        <v>210000</v>
      </c>
      <c r="E9" s="922">
        <f>'Scenario Costs Provincial'!$L$109</f>
        <v>327000</v>
      </c>
      <c r="F9" s="922">
        <f>'Scenario Costs Provincial'!$P$109</f>
        <v>216000</v>
      </c>
      <c r="G9" s="922">
        <f>'Scenario Costs Provincial'!$X$109</f>
        <v>372000</v>
      </c>
      <c r="H9" s="924">
        <f>'Scenario Costs Provincial'!$T$109</f>
        <v>254000</v>
      </c>
      <c r="I9" s="924">
        <f>'Scenario Costs Provincial'!$AB$109</f>
        <v>266000</v>
      </c>
      <c r="J9" s="816"/>
    </row>
    <row r="10" spans="2:10" ht="12.75">
      <c r="B10" s="1124" t="s">
        <v>634</v>
      </c>
      <c r="C10" s="1125"/>
      <c r="D10" s="922">
        <f>'Scenario Costs Provincial'!$G$116</f>
        <v>0</v>
      </c>
      <c r="E10" s="922">
        <f>'Scenario Costs Provincial'!$L$116</f>
        <v>52000</v>
      </c>
      <c r="F10" s="922">
        <f>'Scenario Costs Provincial'!$P$116</f>
        <v>40000</v>
      </c>
      <c r="G10" s="922">
        <f>'Scenario Costs Provincial'!$X$116</f>
        <v>104000</v>
      </c>
      <c r="H10" s="924">
        <f>'Scenario Costs Provincial'!$T$116</f>
        <v>47000</v>
      </c>
      <c r="I10" s="924">
        <f>'Scenario Costs Provincial'!$AB$116</f>
        <v>104000</v>
      </c>
      <c r="J10" s="816"/>
    </row>
    <row r="11" spans="2:10" ht="12.75">
      <c r="B11" s="1124" t="s">
        <v>627</v>
      </c>
      <c r="C11" s="1125"/>
      <c r="D11" s="922">
        <f>'Scenario Costs Provincial'!$F$128</f>
        <v>933000</v>
      </c>
      <c r="E11" s="922">
        <f>'Scenario Costs Provincial'!$K$128</f>
        <v>872000</v>
      </c>
      <c r="F11" s="922">
        <f>'Scenario Costs Provincial'!$O$128</f>
        <v>872000</v>
      </c>
      <c r="G11" s="922">
        <f>'Scenario Costs Provincial'!$W$128</f>
        <v>872000</v>
      </c>
      <c r="H11" s="925">
        <f>'Scenario Costs Provincial'!S128</f>
        <v>872000</v>
      </c>
      <c r="I11" s="925">
        <f>'Scenario Costs Provincial'!AA128</f>
        <v>872000</v>
      </c>
      <c r="J11" s="817"/>
    </row>
    <row r="12" spans="2:10" ht="15.75" customHeight="1">
      <c r="B12" s="26"/>
      <c r="C12" s="27" t="s">
        <v>628</v>
      </c>
      <c r="D12" s="348">
        <f aca="true" t="shared" si="0" ref="D12:I12">SUM(D8:D11)</f>
        <v>2093200</v>
      </c>
      <c r="E12" s="348">
        <f t="shared" si="0"/>
        <v>2109300</v>
      </c>
      <c r="F12" s="348">
        <f t="shared" si="0"/>
        <v>1855300</v>
      </c>
      <c r="G12" s="348">
        <f t="shared" si="0"/>
        <v>2137700</v>
      </c>
      <c r="H12" s="348">
        <f t="shared" si="0"/>
        <v>1981200</v>
      </c>
      <c r="I12" s="348">
        <f t="shared" si="0"/>
        <v>2021200</v>
      </c>
      <c r="J12" s="928">
        <f>'Status quo costs Provincial '!G47</f>
        <v>1809000</v>
      </c>
    </row>
    <row r="13" ht="8.25" customHeight="1"/>
    <row r="14" spans="2:10" ht="24.75" customHeight="1">
      <c r="B14" s="1123" t="s">
        <v>633</v>
      </c>
      <c r="C14" s="1123"/>
      <c r="D14" s="926">
        <f>'Scenario Costs Provincial'!G90</f>
        <v>210000</v>
      </c>
      <c r="E14" s="926">
        <f>'Scenario Costs Provincial'!L90</f>
        <v>300000</v>
      </c>
      <c r="F14" s="926">
        <f>'Scenario Costs Provincial'!P90</f>
        <v>180000</v>
      </c>
      <c r="G14" s="926">
        <f>'Scenario Costs Provincial'!X90</f>
        <v>360000</v>
      </c>
      <c r="H14" s="926">
        <f>'Scenario Costs Provincial'!$T$90</f>
        <v>210000</v>
      </c>
      <c r="I14" s="926">
        <f>'Scenario Costs Provincial'!$AB$90</f>
        <v>390000</v>
      </c>
      <c r="J14" s="927">
        <f>'Status quo costs Provincial '!G42</f>
        <v>264000</v>
      </c>
    </row>
    <row r="15" ht="15.75" customHeight="1"/>
    <row r="16" spans="6:9" ht="13.5" customHeight="1">
      <c r="F16" s="469" t="s">
        <v>632</v>
      </c>
      <c r="G16" s="812">
        <f>'Scenario Costs Provincial'!D9</f>
        <v>-0.3</v>
      </c>
      <c r="H16" s="812"/>
      <c r="I16" s="812"/>
    </row>
    <row r="27" spans="10:11" ht="12.75">
      <c r="J27" s="1122"/>
      <c r="K27" s="818"/>
    </row>
    <row r="28" spans="10:11" ht="12.75">
      <c r="J28" s="1122"/>
      <c r="K28" s="818"/>
    </row>
    <row r="29" spans="10:11" ht="12.75">
      <c r="J29" s="819"/>
      <c r="K29" s="820"/>
    </row>
  </sheetData>
  <mergeCells count="9">
    <mergeCell ref="B1:J2"/>
    <mergeCell ref="B4:J4"/>
    <mergeCell ref="J27:J28"/>
    <mergeCell ref="B14:C14"/>
    <mergeCell ref="B8:C8"/>
    <mergeCell ref="B9:C9"/>
    <mergeCell ref="B10:C10"/>
    <mergeCell ref="B11:C11"/>
    <mergeCell ref="D6:J6"/>
  </mergeCells>
  <conditionalFormatting sqref="G16:I16">
    <cfRule type="cellIs" priority="1" dxfId="5" operator="greaterThan" stopIfTrue="1">
      <formula>0</formula>
    </cfRule>
    <cfRule type="cellIs" priority="2" dxfId="6" operator="lessThan" stopIfTrue="1">
      <formula>0</formula>
    </cfRule>
  </conditionalFormatting>
  <printOptions/>
  <pageMargins left="0.58" right="0.47" top="0.86" bottom="1" header="0.5" footer="0.5"/>
  <pageSetup fitToHeight="1" fitToWidth="1" horizontalDpi="300" verticalDpi="300" orientation="portrait" paperSize="9" scale="70" r:id="rId2"/>
  <headerFooter alignWithMargins="0">
    <oddFooter>&amp;C&amp;8&amp;F &amp;D &amp;T</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J58"/>
  <sheetViews>
    <sheetView zoomScale="75" zoomScaleNormal="75" workbookViewId="0" topLeftCell="A1">
      <selection activeCell="A1" sqref="A1"/>
    </sheetView>
  </sheetViews>
  <sheetFormatPr defaultColWidth="9.140625" defaultRowHeight="12.75"/>
  <cols>
    <col min="1" max="1" width="4.57421875" style="0" customWidth="1"/>
    <col min="2" max="2" width="7.8515625" style="0" customWidth="1"/>
    <col min="3" max="3" width="33.28125" style="0" customWidth="1"/>
    <col min="4" max="4" width="10.00390625" style="0" customWidth="1"/>
    <col min="5" max="6" width="18.7109375" style="0" customWidth="1"/>
    <col min="7" max="7" width="16.28125" style="0" customWidth="1"/>
    <col min="8" max="8" width="3.00390625" style="0" customWidth="1"/>
    <col min="9" max="10" width="18.7109375" style="0" customWidth="1"/>
    <col min="11" max="11" width="16.421875" style="0" customWidth="1"/>
    <col min="12" max="12" width="3.7109375" style="0" customWidth="1"/>
    <col min="13" max="14" width="18.7109375" style="0" customWidth="1"/>
    <col min="15" max="15" width="16.421875" style="0" customWidth="1"/>
    <col min="16" max="16" width="3.28125" style="0" customWidth="1"/>
    <col min="17" max="17" width="18.28125" style="0" customWidth="1"/>
    <col min="18" max="18" width="18.421875" style="0" customWidth="1"/>
    <col min="19" max="19" width="17.421875" style="0" customWidth="1"/>
    <col min="20" max="20" width="3.7109375" style="0" customWidth="1"/>
    <col min="21" max="22" width="18.7109375" style="0" customWidth="1"/>
    <col min="23" max="23" width="18.8515625" style="0" customWidth="1"/>
    <col min="24" max="24" width="3.421875" style="0" customWidth="1"/>
    <col min="25" max="25" width="17.7109375" style="0" customWidth="1"/>
    <col min="26" max="27" width="18.8515625" style="0" customWidth="1"/>
    <col min="28" max="28" width="3.28125" style="0" customWidth="1"/>
    <col min="29" max="29" width="3.8515625" style="0" customWidth="1"/>
    <col min="30" max="30" width="5.28125" style="0" customWidth="1"/>
    <col min="31" max="31" width="15.28125" style="0" customWidth="1"/>
    <col min="32" max="32" width="5.00390625" style="0" customWidth="1"/>
    <col min="33" max="33" width="4.00390625" style="0" customWidth="1"/>
  </cols>
  <sheetData>
    <row r="1" spans="2:32" ht="20.25">
      <c r="B1" s="897" t="s">
        <v>37</v>
      </c>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row>
    <row r="3" spans="2:32" ht="26.25">
      <c r="B3" s="898" t="s">
        <v>194</v>
      </c>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row>
    <row r="4" spans="2:19" ht="15.75" customHeight="1" thickBot="1">
      <c r="B4" s="199"/>
      <c r="C4" s="199"/>
      <c r="D4" s="199"/>
      <c r="E4" s="199"/>
      <c r="F4" s="199"/>
      <c r="G4" s="199"/>
      <c r="H4" s="199"/>
      <c r="I4" s="199"/>
      <c r="J4" s="199"/>
      <c r="K4" s="199"/>
      <c r="L4" s="199"/>
      <c r="M4" s="199"/>
      <c r="N4" s="199"/>
      <c r="O4" s="199"/>
      <c r="P4" s="199"/>
      <c r="Q4" s="199"/>
      <c r="R4" s="199"/>
      <c r="S4" s="199"/>
    </row>
    <row r="5" spans="2:19" ht="26.25" customHeight="1" thickBot="1">
      <c r="B5" s="199"/>
      <c r="C5" s="199"/>
      <c r="D5" s="199"/>
      <c r="F5" s="199"/>
      <c r="G5" s="199"/>
      <c r="H5" s="305" t="s">
        <v>246</v>
      </c>
      <c r="I5" s="401">
        <f>+'Scenario Costs All Facilities'!D9</f>
        <v>-0.3</v>
      </c>
      <c r="J5" s="306" t="s">
        <v>247</v>
      </c>
      <c r="K5" s="199"/>
      <c r="L5" s="199"/>
      <c r="M5" s="199"/>
      <c r="N5" s="307" t="s">
        <v>243</v>
      </c>
      <c r="O5" s="199"/>
      <c r="P5" s="199"/>
      <c r="Q5" s="199"/>
      <c r="R5" s="199"/>
      <c r="S5" s="199"/>
    </row>
    <row r="6" spans="2:19" ht="15.75" customHeight="1" thickBot="1">
      <c r="B6" s="199"/>
      <c r="C6" s="199"/>
      <c r="D6" s="199"/>
      <c r="E6" s="199"/>
      <c r="F6" s="199"/>
      <c r="G6" s="199"/>
      <c r="H6" s="199"/>
      <c r="I6" s="199"/>
      <c r="J6" s="199"/>
      <c r="K6" s="199"/>
      <c r="L6" s="199"/>
      <c r="M6" s="199"/>
      <c r="N6" s="199"/>
      <c r="O6" s="199"/>
      <c r="P6" s="199"/>
      <c r="Q6" s="199"/>
      <c r="R6" s="199"/>
      <c r="S6" s="199"/>
    </row>
    <row r="7" spans="2:19" ht="27.75" customHeight="1" thickBot="1">
      <c r="B7" s="199"/>
      <c r="C7" s="888" t="s">
        <v>253</v>
      </c>
      <c r="D7" s="888"/>
      <c r="E7" s="888"/>
      <c r="F7" s="888"/>
      <c r="G7" s="888"/>
      <c r="H7" s="888"/>
      <c r="I7" s="401">
        <f>+'Scenario Costs All Facilities'!$Q$45</f>
        <v>0.12</v>
      </c>
      <c r="J7" s="199"/>
      <c r="K7" s="199"/>
      <c r="L7" s="199"/>
      <c r="M7" s="199"/>
      <c r="N7" s="199"/>
      <c r="O7" s="199"/>
      <c r="P7" s="199"/>
      <c r="Q7" s="199"/>
      <c r="R7" s="199"/>
      <c r="S7" s="199"/>
    </row>
    <row r="8" ht="16.5" customHeight="1" thickBot="1"/>
    <row r="9" spans="5:32" ht="31.5" customHeight="1">
      <c r="E9" s="885" t="s">
        <v>2</v>
      </c>
      <c r="F9" s="886"/>
      <c r="G9" s="887"/>
      <c r="H9" s="2"/>
      <c r="I9" s="885" t="s">
        <v>3</v>
      </c>
      <c r="J9" s="886"/>
      <c r="K9" s="887"/>
      <c r="L9" s="2"/>
      <c r="M9" s="885" t="s">
        <v>4</v>
      </c>
      <c r="N9" s="886"/>
      <c r="O9" s="887"/>
      <c r="P9" s="850"/>
      <c r="Q9" s="885" t="s">
        <v>653</v>
      </c>
      <c r="R9" s="886"/>
      <c r="S9" s="887"/>
      <c r="U9" s="899" t="s">
        <v>521</v>
      </c>
      <c r="V9" s="900"/>
      <c r="W9" s="884"/>
      <c r="X9" s="855"/>
      <c r="Y9" s="899" t="s">
        <v>659</v>
      </c>
      <c r="Z9" s="900"/>
      <c r="AA9" s="884"/>
      <c r="AB9" s="743"/>
      <c r="AD9" s="899" t="s">
        <v>193</v>
      </c>
      <c r="AE9" s="900"/>
      <c r="AF9" s="884"/>
    </row>
    <row r="10" spans="5:32" ht="27" customHeight="1" thickBot="1">
      <c r="E10" s="165"/>
      <c r="F10" s="22"/>
      <c r="G10" s="166"/>
      <c r="H10" s="22"/>
      <c r="I10" s="165"/>
      <c r="J10" s="22"/>
      <c r="K10" s="166"/>
      <c r="L10" s="22"/>
      <c r="M10" s="165"/>
      <c r="N10" s="22"/>
      <c r="O10" s="166"/>
      <c r="P10" s="22"/>
      <c r="Q10" s="22"/>
      <c r="R10" s="22"/>
      <c r="S10" s="22"/>
      <c r="U10" s="165"/>
      <c r="V10" s="22"/>
      <c r="W10" s="166"/>
      <c r="X10" s="22"/>
      <c r="Y10" s="22"/>
      <c r="Z10" s="22"/>
      <c r="AA10" s="22"/>
      <c r="AD10" s="165"/>
      <c r="AE10" s="22"/>
      <c r="AF10" s="166"/>
    </row>
    <row r="11" spans="2:33" ht="51" customHeight="1" thickBot="1" thickTop="1">
      <c r="B11" s="717" t="s">
        <v>215</v>
      </c>
      <c r="C11" s="687"/>
      <c r="D11" s="687"/>
      <c r="E11" s="894" t="s">
        <v>683</v>
      </c>
      <c r="F11" s="895"/>
      <c r="G11" s="896"/>
      <c r="H11" s="687"/>
      <c r="I11" s="906" t="s">
        <v>165</v>
      </c>
      <c r="J11" s="907"/>
      <c r="K11" s="908"/>
      <c r="L11" s="687"/>
      <c r="M11" s="906" t="s">
        <v>561</v>
      </c>
      <c r="N11" s="907"/>
      <c r="O11" s="908"/>
      <c r="P11" s="842"/>
      <c r="Q11" s="906" t="s">
        <v>658</v>
      </c>
      <c r="R11" s="907"/>
      <c r="S11" s="908"/>
      <c r="T11" s="687"/>
      <c r="U11" s="940" t="s">
        <v>660</v>
      </c>
      <c r="V11" s="941"/>
      <c r="W11" s="942"/>
      <c r="X11" s="852"/>
      <c r="Y11" s="901" t="s">
        <v>520</v>
      </c>
      <c r="Z11" s="902"/>
      <c r="AA11" s="903"/>
      <c r="AB11" s="744"/>
      <c r="AC11" s="22"/>
      <c r="AD11" s="165"/>
      <c r="AE11" s="22"/>
      <c r="AF11" s="166"/>
      <c r="AG11" s="22"/>
    </row>
    <row r="12" spans="2:33" ht="31.5" customHeight="1" thickBot="1">
      <c r="B12" s="425"/>
      <c r="C12" s="22"/>
      <c r="D12" s="22"/>
      <c r="E12" s="165"/>
      <c r="F12" s="22"/>
      <c r="G12" s="166"/>
      <c r="H12" s="22"/>
      <c r="I12" s="915" t="s">
        <v>266</v>
      </c>
      <c r="J12" s="916"/>
      <c r="K12" s="274">
        <f>+'Scenario Costs All Facilities'!$D$79</f>
        <v>10</v>
      </c>
      <c r="L12" s="22"/>
      <c r="M12" s="915" t="s">
        <v>266</v>
      </c>
      <c r="N12" s="916"/>
      <c r="O12" s="274">
        <f>+'Scenario Costs All Facilities'!$D$80</f>
        <v>8</v>
      </c>
      <c r="P12" s="844"/>
      <c r="Q12" s="915" t="s">
        <v>266</v>
      </c>
      <c r="R12" s="916"/>
      <c r="S12" s="274">
        <f>+'Scenario Costs All Facilities'!$D$80</f>
        <v>8</v>
      </c>
      <c r="T12" s="22"/>
      <c r="U12" s="915" t="s">
        <v>527</v>
      </c>
      <c r="V12" s="916"/>
      <c r="W12" s="274">
        <f>'Scenario Costs All Facilities'!$D$81</f>
        <v>8</v>
      </c>
      <c r="X12" s="844"/>
      <c r="Y12" s="915" t="s">
        <v>527</v>
      </c>
      <c r="Z12" s="916"/>
      <c r="AA12" s="274">
        <f>'Scenario Costs All Facilities'!$D$81</f>
        <v>8</v>
      </c>
      <c r="AB12" s="691"/>
      <c r="AC12" s="22"/>
      <c r="AD12" s="165"/>
      <c r="AE12" s="22"/>
      <c r="AF12" s="166"/>
      <c r="AG12" s="22"/>
    </row>
    <row r="13" spans="2:33" ht="31.5" customHeight="1" thickBot="1">
      <c r="B13" s="425"/>
      <c r="C13" s="22"/>
      <c r="D13" s="22"/>
      <c r="E13" s="915" t="s">
        <v>618</v>
      </c>
      <c r="F13" s="916"/>
      <c r="G13" s="274">
        <f>'Scenario Costs All Facilities'!$D$83</f>
        <v>5</v>
      </c>
      <c r="H13" s="22"/>
      <c r="I13" s="785"/>
      <c r="J13" s="786"/>
      <c r="K13" s="274"/>
      <c r="L13" s="22"/>
      <c r="M13" s="785"/>
      <c r="N13" s="786"/>
      <c r="O13" s="274"/>
      <c r="P13" s="844"/>
      <c r="Q13" s="785"/>
      <c r="R13" s="786"/>
      <c r="S13" s="274"/>
      <c r="T13" s="22"/>
      <c r="U13" s="915" t="s">
        <v>618</v>
      </c>
      <c r="V13" s="916"/>
      <c r="W13" s="274">
        <f>'Scenario Costs All Facilities'!$D$83</f>
        <v>5</v>
      </c>
      <c r="X13" s="844"/>
      <c r="Y13" s="915" t="s">
        <v>684</v>
      </c>
      <c r="Z13" s="904"/>
      <c r="AA13" s="905"/>
      <c r="AB13" s="691"/>
      <c r="AC13" s="22"/>
      <c r="AD13" s="165"/>
      <c r="AE13" s="22"/>
      <c r="AF13" s="166"/>
      <c r="AG13" s="22"/>
    </row>
    <row r="14" spans="2:33" ht="31.5" customHeight="1" thickBot="1">
      <c r="B14" s="425"/>
      <c r="C14" s="22"/>
      <c r="D14" s="22"/>
      <c r="E14" s="165"/>
      <c r="F14" s="22"/>
      <c r="G14" s="166"/>
      <c r="H14" s="22"/>
      <c r="I14" s="915" t="s">
        <v>505</v>
      </c>
      <c r="J14" s="916"/>
      <c r="K14" s="720">
        <f>+'Scenario Costs All Facilities'!$Q$14</f>
        <v>300</v>
      </c>
      <c r="L14" s="22"/>
      <c r="M14" s="915" t="s">
        <v>505</v>
      </c>
      <c r="N14" s="916"/>
      <c r="O14" s="720">
        <f>+'Scenario Costs All Facilities'!$Q$15</f>
        <v>1825</v>
      </c>
      <c r="P14" s="845"/>
      <c r="Q14" s="915" t="s">
        <v>505</v>
      </c>
      <c r="R14" s="916"/>
      <c r="S14" s="720">
        <f>+'Scenario Costs All Facilities'!$Q$16</f>
        <v>2450</v>
      </c>
      <c r="T14" s="22"/>
      <c r="U14" s="915" t="s">
        <v>617</v>
      </c>
      <c r="V14" s="916"/>
      <c r="W14" s="720">
        <f>'Scenario Costs All Facilities'!$Q$17</f>
        <v>100</v>
      </c>
      <c r="X14" s="845"/>
      <c r="Y14" s="915" t="s">
        <v>617</v>
      </c>
      <c r="Z14" s="916"/>
      <c r="AA14" s="720">
        <f>'Scenario Costs All Facilities'!$Q$17</f>
        <v>100</v>
      </c>
      <c r="AB14" s="691"/>
      <c r="AC14" s="22"/>
      <c r="AD14" s="165"/>
      <c r="AE14" s="22"/>
      <c r="AF14" s="166"/>
      <c r="AG14" s="22"/>
    </row>
    <row r="15" spans="2:33" ht="50.25" customHeight="1" thickBot="1">
      <c r="B15" s="425"/>
      <c r="C15" s="22"/>
      <c r="D15" s="22"/>
      <c r="E15" s="165"/>
      <c r="F15" s="22"/>
      <c r="G15" s="166"/>
      <c r="H15" s="22"/>
      <c r="I15" s="915" t="s">
        <v>534</v>
      </c>
      <c r="J15" s="916"/>
      <c r="K15" s="274">
        <f>+'Scenario Costs All Facilities'!$D$88</f>
        <v>10</v>
      </c>
      <c r="L15" s="22"/>
      <c r="M15" s="915" t="s">
        <v>534</v>
      </c>
      <c r="N15" s="916"/>
      <c r="O15" s="274">
        <f>+'Scenario Costs All Facilities'!$D$88</f>
        <v>10</v>
      </c>
      <c r="P15" s="844"/>
      <c r="Q15" s="915" t="s">
        <v>534</v>
      </c>
      <c r="R15" s="916"/>
      <c r="S15" s="274">
        <f>+'Scenario Costs All Facilities'!$D$88</f>
        <v>10</v>
      </c>
      <c r="T15" s="22"/>
      <c r="U15" s="915" t="s">
        <v>534</v>
      </c>
      <c r="V15" s="916"/>
      <c r="W15" s="274">
        <f>+'Scenario Costs All Facilities'!$D$88</f>
        <v>10</v>
      </c>
      <c r="X15" s="844"/>
      <c r="Y15" s="915" t="s">
        <v>534</v>
      </c>
      <c r="Z15" s="916"/>
      <c r="AA15" s="274">
        <f>+'Scenario Costs All Facilities'!$D$88</f>
        <v>10</v>
      </c>
      <c r="AB15" s="691"/>
      <c r="AC15" s="22"/>
      <c r="AD15" s="165"/>
      <c r="AE15" s="22"/>
      <c r="AF15" s="166"/>
      <c r="AG15" s="22"/>
    </row>
    <row r="16" spans="2:33" ht="50.25" customHeight="1" thickBot="1">
      <c r="B16" s="425"/>
      <c r="C16" s="22"/>
      <c r="D16" s="22"/>
      <c r="E16" s="165"/>
      <c r="F16" s="22"/>
      <c r="G16" s="166"/>
      <c r="H16" s="22"/>
      <c r="I16" s="915" t="s">
        <v>535</v>
      </c>
      <c r="J16" s="916"/>
      <c r="K16" s="274">
        <f>'Scenario Costs All Facilities'!D89</f>
        <v>150</v>
      </c>
      <c r="L16" s="22"/>
      <c r="M16" s="915" t="s">
        <v>535</v>
      </c>
      <c r="N16" s="916"/>
      <c r="O16" s="274">
        <f>'Scenario Costs All Facilities'!$D$89</f>
        <v>150</v>
      </c>
      <c r="P16" s="844"/>
      <c r="Q16" s="915" t="s">
        <v>535</v>
      </c>
      <c r="R16" s="916"/>
      <c r="S16" s="274">
        <f>'Scenario Costs All Facilities'!$D$89</f>
        <v>150</v>
      </c>
      <c r="T16" s="22"/>
      <c r="U16" s="915" t="s">
        <v>535</v>
      </c>
      <c r="V16" s="916"/>
      <c r="W16" s="274">
        <f>'Scenario Costs All Facilities'!$D$89</f>
        <v>150</v>
      </c>
      <c r="X16" s="844"/>
      <c r="Y16" s="915" t="s">
        <v>535</v>
      </c>
      <c r="Z16" s="916"/>
      <c r="AA16" s="274">
        <f>'Scenario Costs All Facilities'!$D$89</f>
        <v>150</v>
      </c>
      <c r="AB16" s="691"/>
      <c r="AC16" s="22"/>
      <c r="AD16" s="165"/>
      <c r="AE16" s="22"/>
      <c r="AF16" s="166"/>
      <c r="AG16" s="22"/>
    </row>
    <row r="17" spans="2:33" ht="36" customHeight="1" thickBot="1">
      <c r="B17" s="425"/>
      <c r="C17" s="22"/>
      <c r="D17" s="22"/>
      <c r="E17" s="915" t="s">
        <v>503</v>
      </c>
      <c r="F17" s="916"/>
      <c r="G17" s="686">
        <f>'Scenario Costs All Facilities'!$E$102</f>
        <v>0.05</v>
      </c>
      <c r="H17" s="22"/>
      <c r="I17" s="915" t="s">
        <v>533</v>
      </c>
      <c r="J17" s="916"/>
      <c r="K17" s="686">
        <f>'Scenario Costs All Facilities'!$E$102</f>
        <v>0.05</v>
      </c>
      <c r="L17" s="22"/>
      <c r="M17" s="915" t="s">
        <v>533</v>
      </c>
      <c r="N17" s="916"/>
      <c r="O17" s="686">
        <f>'Scenario Costs All Facilities'!$E$102</f>
        <v>0.05</v>
      </c>
      <c r="P17" s="846"/>
      <c r="Q17" s="915" t="s">
        <v>533</v>
      </c>
      <c r="R17" s="916"/>
      <c r="S17" s="686">
        <f>'Scenario Costs All Facilities'!$E$102</f>
        <v>0.05</v>
      </c>
      <c r="T17" s="22"/>
      <c r="U17" s="915" t="s">
        <v>533</v>
      </c>
      <c r="V17" s="916"/>
      <c r="W17" s="686">
        <f>'Scenario Costs All Facilities'!$E$102</f>
        <v>0.05</v>
      </c>
      <c r="X17" s="846"/>
      <c r="Y17" s="915" t="s">
        <v>533</v>
      </c>
      <c r="Z17" s="916"/>
      <c r="AA17" s="686">
        <f>'Scenario Costs All Facilities'!$E$102</f>
        <v>0.05</v>
      </c>
      <c r="AB17" s="691"/>
      <c r="AC17" s="22"/>
      <c r="AD17" s="165"/>
      <c r="AE17" s="22"/>
      <c r="AF17" s="166"/>
      <c r="AG17" s="22"/>
    </row>
    <row r="18" spans="2:33" ht="46.5" customHeight="1" thickBot="1">
      <c r="B18" s="425"/>
      <c r="C18" s="22"/>
      <c r="D18" s="22"/>
      <c r="E18" s="245"/>
      <c r="F18" s="246"/>
      <c r="G18" s="722"/>
      <c r="H18" s="22"/>
      <c r="I18" s="915" t="s">
        <v>506</v>
      </c>
      <c r="J18" s="916"/>
      <c r="K18" s="686">
        <f>+'Transport Costs'!$L$101</f>
        <v>0.25</v>
      </c>
      <c r="L18" s="22"/>
      <c r="M18" s="915" t="s">
        <v>506</v>
      </c>
      <c r="N18" s="916"/>
      <c r="O18" s="686">
        <f>+'Transport Costs'!$L$101</f>
        <v>0.25</v>
      </c>
      <c r="P18" s="846"/>
      <c r="Q18" s="915" t="s">
        <v>506</v>
      </c>
      <c r="R18" s="916"/>
      <c r="S18" s="686">
        <f>+'Transport Costs'!$L$101</f>
        <v>0.25</v>
      </c>
      <c r="T18" s="22"/>
      <c r="U18" s="165"/>
      <c r="V18" s="22"/>
      <c r="W18" s="166"/>
      <c r="X18" s="22"/>
      <c r="Y18" s="165"/>
      <c r="Z18" s="22"/>
      <c r="AA18" s="166"/>
      <c r="AB18" s="691"/>
      <c r="AC18" s="22"/>
      <c r="AD18" s="165"/>
      <c r="AE18" s="22"/>
      <c r="AF18" s="166"/>
      <c r="AG18" s="22"/>
    </row>
    <row r="19" spans="2:33" ht="15.75" customHeight="1" thickBot="1">
      <c r="B19" s="692"/>
      <c r="C19" s="693"/>
      <c r="D19" s="694"/>
      <c r="E19" s="695"/>
      <c r="F19" s="696"/>
      <c r="G19" s="721"/>
      <c r="H19" s="698"/>
      <c r="I19" s="695"/>
      <c r="J19" s="698"/>
      <c r="K19" s="697"/>
      <c r="L19" s="698"/>
      <c r="M19" s="695"/>
      <c r="N19" s="698"/>
      <c r="O19" s="697"/>
      <c r="P19" s="698"/>
      <c r="Q19" s="695"/>
      <c r="R19" s="698"/>
      <c r="S19" s="697"/>
      <c r="T19" s="698"/>
      <c r="U19" s="695"/>
      <c r="V19" s="698"/>
      <c r="W19" s="697"/>
      <c r="X19" s="698"/>
      <c r="Y19" s="695"/>
      <c r="Z19" s="698"/>
      <c r="AA19" s="697"/>
      <c r="AB19" s="699"/>
      <c r="AC19" s="22"/>
      <c r="AD19" s="165"/>
      <c r="AE19" s="22"/>
      <c r="AF19" s="166"/>
      <c r="AG19" s="22"/>
    </row>
    <row r="20" spans="3:32" ht="28.5" customHeight="1" thickBot="1" thickTop="1">
      <c r="C20" s="242"/>
      <c r="D20" s="241"/>
      <c r="E20" s="165"/>
      <c r="F20" s="164"/>
      <c r="G20" s="166"/>
      <c r="I20" s="165"/>
      <c r="J20" s="22"/>
      <c r="K20" s="166"/>
      <c r="M20" s="165"/>
      <c r="N20" s="22"/>
      <c r="O20" s="166"/>
      <c r="P20" s="22"/>
      <c r="Q20" s="165"/>
      <c r="R20" s="22"/>
      <c r="S20" s="166"/>
      <c r="U20" s="165"/>
      <c r="V20" s="22"/>
      <c r="W20" s="166"/>
      <c r="X20" s="22"/>
      <c r="Y20" s="165"/>
      <c r="Z20" s="22"/>
      <c r="AA20" s="166"/>
      <c r="AD20" s="165"/>
      <c r="AF20" s="166"/>
    </row>
    <row r="21" spans="2:33" ht="12" customHeight="1" thickBot="1" thickTop="1">
      <c r="B21" s="700"/>
      <c r="C21" s="701"/>
      <c r="D21" s="702"/>
      <c r="E21" s="688"/>
      <c r="F21" s="703"/>
      <c r="G21" s="689"/>
      <c r="H21" s="687"/>
      <c r="I21" s="688"/>
      <c r="J21" s="687"/>
      <c r="K21" s="689"/>
      <c r="L21" s="687"/>
      <c r="M21" s="688"/>
      <c r="N21" s="687"/>
      <c r="O21" s="689"/>
      <c r="P21" s="687"/>
      <c r="Q21" s="688"/>
      <c r="R21" s="687"/>
      <c r="S21" s="689"/>
      <c r="T21" s="687"/>
      <c r="U21" s="688"/>
      <c r="V21" s="687"/>
      <c r="W21" s="689"/>
      <c r="X21" s="687"/>
      <c r="Y21" s="688"/>
      <c r="Z21" s="687"/>
      <c r="AA21" s="689"/>
      <c r="AB21" s="690"/>
      <c r="AC21" s="22"/>
      <c r="AD21" s="165"/>
      <c r="AE21" s="22"/>
      <c r="AF21" s="166"/>
      <c r="AG21" s="22"/>
    </row>
    <row r="22" spans="2:33" ht="24" customHeight="1" thickBot="1">
      <c r="B22" s="718" t="s">
        <v>216</v>
      </c>
      <c r="C22" s="22"/>
      <c r="D22" s="22"/>
      <c r="E22" s="913" t="s">
        <v>222</v>
      </c>
      <c r="F22" s="893"/>
      <c r="G22" s="272">
        <f>+'Transport Costs'!$D$103</f>
        <v>1</v>
      </c>
      <c r="H22" s="22"/>
      <c r="I22" s="913" t="s">
        <v>222</v>
      </c>
      <c r="J22" s="914"/>
      <c r="K22" s="273">
        <f>+'Transport Costs'!$D$103</f>
        <v>1</v>
      </c>
      <c r="L22" s="22"/>
      <c r="M22" s="913" t="s">
        <v>222</v>
      </c>
      <c r="N22" s="914"/>
      <c r="O22" s="272">
        <f>+'Transport Costs'!$D$103</f>
        <v>1</v>
      </c>
      <c r="P22" s="847"/>
      <c r="Q22" s="913" t="s">
        <v>222</v>
      </c>
      <c r="R22" s="914"/>
      <c r="S22" s="272">
        <f>+'Transport Costs'!$D$103</f>
        <v>1</v>
      </c>
      <c r="T22" s="22"/>
      <c r="U22" s="913" t="s">
        <v>222</v>
      </c>
      <c r="V22" s="914"/>
      <c r="W22" s="272">
        <f>+'Transport Costs'!$D$103</f>
        <v>1</v>
      </c>
      <c r="X22" s="847"/>
      <c r="Y22" s="913" t="s">
        <v>222</v>
      </c>
      <c r="Z22" s="914"/>
      <c r="AA22" s="272">
        <f>+'Transport Costs'!$D$103</f>
        <v>1</v>
      </c>
      <c r="AB22" s="691"/>
      <c r="AC22" s="22"/>
      <c r="AD22" s="165"/>
      <c r="AE22" s="22"/>
      <c r="AF22" s="166"/>
      <c r="AG22" s="22"/>
    </row>
    <row r="23" spans="2:33" ht="21.75" customHeight="1" thickBot="1">
      <c r="B23" s="704"/>
      <c r="C23" s="705"/>
      <c r="D23" s="706"/>
      <c r="E23" s="165"/>
      <c r="F23" s="164"/>
      <c r="G23" s="166"/>
      <c r="H23" s="22"/>
      <c r="I23" s="913" t="s">
        <v>225</v>
      </c>
      <c r="J23" s="914"/>
      <c r="K23" s="273">
        <f>+'Transport Costs'!$C$84</f>
        <v>1</v>
      </c>
      <c r="L23" s="22"/>
      <c r="M23" s="913" t="s">
        <v>225</v>
      </c>
      <c r="N23" s="914"/>
      <c r="O23" s="272">
        <f>+'Transport Costs'!$C$84</f>
        <v>1</v>
      </c>
      <c r="P23" s="847"/>
      <c r="Q23" s="913" t="s">
        <v>225</v>
      </c>
      <c r="R23" s="914"/>
      <c r="S23" s="272">
        <f>+'Transport Costs'!$C$84</f>
        <v>1</v>
      </c>
      <c r="T23" s="22"/>
      <c r="U23" s="165"/>
      <c r="V23" s="164"/>
      <c r="W23" s="166"/>
      <c r="X23" s="22"/>
      <c r="Y23" s="165"/>
      <c r="Z23" s="164"/>
      <c r="AA23" s="166"/>
      <c r="AB23" s="691"/>
      <c r="AC23" s="22"/>
      <c r="AD23" s="165"/>
      <c r="AE23" s="22"/>
      <c r="AF23" s="166"/>
      <c r="AG23" s="22"/>
    </row>
    <row r="24" spans="2:33" ht="21.75" customHeight="1" thickBot="1">
      <c r="B24" s="704"/>
      <c r="C24" s="705"/>
      <c r="D24" s="706"/>
      <c r="E24" s="913" t="s">
        <v>267</v>
      </c>
      <c r="F24" s="914"/>
      <c r="G24" s="272">
        <f>+'Transport Costs'!$D$46</f>
        <v>5</v>
      </c>
      <c r="H24" s="22"/>
      <c r="I24" s="913" t="s">
        <v>267</v>
      </c>
      <c r="J24" s="914"/>
      <c r="K24" s="272">
        <f>+'Transport Costs'!$D$46</f>
        <v>5</v>
      </c>
      <c r="L24" s="22"/>
      <c r="M24" s="913" t="s">
        <v>267</v>
      </c>
      <c r="N24" s="914"/>
      <c r="O24" s="272">
        <f>+'Transport Costs'!$D$46</f>
        <v>5</v>
      </c>
      <c r="P24" s="847"/>
      <c r="Q24" s="913" t="s">
        <v>267</v>
      </c>
      <c r="R24" s="914"/>
      <c r="S24" s="272">
        <f>+'Transport Costs'!$D$46</f>
        <v>5</v>
      </c>
      <c r="T24" s="22"/>
      <c r="U24" s="913" t="s">
        <v>267</v>
      </c>
      <c r="V24" s="914"/>
      <c r="W24" s="272">
        <f>+'Transport Costs'!$D$46</f>
        <v>5</v>
      </c>
      <c r="X24" s="847"/>
      <c r="Y24" s="913" t="s">
        <v>267</v>
      </c>
      <c r="Z24" s="914"/>
      <c r="AA24" s="272">
        <f>+'Transport Costs'!$D$46</f>
        <v>5</v>
      </c>
      <c r="AB24" s="691"/>
      <c r="AC24" s="22"/>
      <c r="AD24" s="165"/>
      <c r="AF24" s="166"/>
      <c r="AG24" s="22"/>
    </row>
    <row r="25" spans="2:33" ht="21.75" customHeight="1" thickBot="1">
      <c r="B25" s="425"/>
      <c r="C25" s="22"/>
      <c r="D25" s="22"/>
      <c r="E25" s="913" t="s">
        <v>502</v>
      </c>
      <c r="F25" s="914"/>
      <c r="G25" s="686">
        <f>+'Transport Costs'!$C$147</f>
        <v>0.25</v>
      </c>
      <c r="H25" s="22"/>
      <c r="I25" s="913" t="s">
        <v>502</v>
      </c>
      <c r="J25" s="914"/>
      <c r="K25" s="686">
        <f>+'Transport Costs'!$C$147</f>
        <v>0.25</v>
      </c>
      <c r="L25" s="22"/>
      <c r="M25" s="913" t="s">
        <v>502</v>
      </c>
      <c r="N25" s="914"/>
      <c r="O25" s="686">
        <f>+'Transport Costs'!$C$147</f>
        <v>0.25</v>
      </c>
      <c r="P25" s="846"/>
      <c r="Q25" s="913" t="s">
        <v>502</v>
      </c>
      <c r="R25" s="914"/>
      <c r="S25" s="686">
        <f>+'Transport Costs'!$C$147</f>
        <v>0.25</v>
      </c>
      <c r="T25" s="22"/>
      <c r="U25" s="913" t="s">
        <v>502</v>
      </c>
      <c r="V25" s="914"/>
      <c r="W25" s="686">
        <f>+'Transport Costs'!$C$147</f>
        <v>0.25</v>
      </c>
      <c r="X25" s="846"/>
      <c r="Y25" s="913" t="s">
        <v>502</v>
      </c>
      <c r="Z25" s="914"/>
      <c r="AA25" s="686">
        <f>+'Transport Costs'!$C$147</f>
        <v>0.25</v>
      </c>
      <c r="AB25" s="691"/>
      <c r="AC25" s="22"/>
      <c r="AD25" s="165"/>
      <c r="AF25" s="166"/>
      <c r="AG25" s="22"/>
    </row>
    <row r="26" spans="2:33" ht="21.75" customHeight="1" thickBot="1">
      <c r="B26" s="425"/>
      <c r="C26" s="22"/>
      <c r="D26" s="22"/>
      <c r="E26" s="913" t="s">
        <v>504</v>
      </c>
      <c r="F26" s="914"/>
      <c r="G26" s="719">
        <f>+'Scenario Costs All Facilities'!$Q$27</f>
        <v>4.3</v>
      </c>
      <c r="H26" s="22"/>
      <c r="I26" s="913" t="s">
        <v>504</v>
      </c>
      <c r="J26" s="914"/>
      <c r="K26" s="719">
        <f>+'Scenario Costs All Facilities'!$Q$27</f>
        <v>4.3</v>
      </c>
      <c r="L26" s="22"/>
      <c r="M26" s="913" t="s">
        <v>504</v>
      </c>
      <c r="N26" s="914"/>
      <c r="O26" s="719">
        <f>+'Scenario Costs All Facilities'!$Q$27</f>
        <v>4.3</v>
      </c>
      <c r="P26" s="848"/>
      <c r="Q26" s="913" t="s">
        <v>504</v>
      </c>
      <c r="R26" s="914"/>
      <c r="S26" s="719">
        <f>+'Scenario Costs All Facilities'!$Q$27</f>
        <v>4.3</v>
      </c>
      <c r="T26" s="22"/>
      <c r="U26" s="913" t="s">
        <v>504</v>
      </c>
      <c r="V26" s="914"/>
      <c r="W26" s="719">
        <f>+'Scenario Costs All Facilities'!$Q$27</f>
        <v>4.3</v>
      </c>
      <c r="X26" s="848"/>
      <c r="Y26" s="913" t="s">
        <v>504</v>
      </c>
      <c r="Z26" s="914"/>
      <c r="AA26" s="719">
        <f>+'Scenario Costs All Facilities'!$Q$27</f>
        <v>4.3</v>
      </c>
      <c r="AB26" s="691"/>
      <c r="AC26" s="22"/>
      <c r="AD26" s="165"/>
      <c r="AF26" s="166"/>
      <c r="AG26" s="22"/>
    </row>
    <row r="27" spans="2:33" ht="15.75" customHeight="1" thickBot="1">
      <c r="B27" s="692"/>
      <c r="C27" s="698"/>
      <c r="D27" s="698"/>
      <c r="E27" s="695"/>
      <c r="F27" s="696"/>
      <c r="G27" s="697"/>
      <c r="H27" s="698"/>
      <c r="I27" s="707"/>
      <c r="J27" s="708"/>
      <c r="K27" s="697"/>
      <c r="L27" s="698"/>
      <c r="M27" s="707"/>
      <c r="N27" s="708"/>
      <c r="O27" s="697"/>
      <c r="P27" s="698"/>
      <c r="Q27" s="707"/>
      <c r="R27" s="708"/>
      <c r="S27" s="697"/>
      <c r="T27" s="698"/>
      <c r="U27" s="695"/>
      <c r="V27" s="698"/>
      <c r="W27" s="697"/>
      <c r="X27" s="698"/>
      <c r="Y27" s="695"/>
      <c r="Z27" s="698"/>
      <c r="AA27" s="697"/>
      <c r="AB27" s="699"/>
      <c r="AC27" s="22"/>
      <c r="AD27" s="165"/>
      <c r="AF27" s="166"/>
      <c r="AG27" s="22"/>
    </row>
    <row r="28" spans="5:32" ht="27.75" customHeight="1" thickBot="1" thickTop="1">
      <c r="E28" s="165"/>
      <c r="F28" s="164"/>
      <c r="G28" s="166"/>
      <c r="I28" s="684"/>
      <c r="J28" s="685"/>
      <c r="K28" s="166"/>
      <c r="M28" s="684"/>
      <c r="N28" s="685"/>
      <c r="O28" s="166"/>
      <c r="P28" s="22"/>
      <c r="Q28" s="684"/>
      <c r="R28" s="685"/>
      <c r="S28" s="166"/>
      <c r="U28" s="165"/>
      <c r="V28" s="22"/>
      <c r="W28" s="166"/>
      <c r="X28" s="22"/>
      <c r="Y28" s="165"/>
      <c r="Z28" s="22"/>
      <c r="AA28" s="166"/>
      <c r="AD28" s="165"/>
      <c r="AF28" s="166"/>
    </row>
    <row r="29" spans="2:32" ht="13.5" customHeight="1" thickBot="1" thickTop="1">
      <c r="B29" s="700"/>
      <c r="C29" s="687"/>
      <c r="D29" s="687"/>
      <c r="E29" s="688"/>
      <c r="F29" s="703"/>
      <c r="G29" s="689"/>
      <c r="H29" s="687"/>
      <c r="I29" s="709"/>
      <c r="J29" s="710"/>
      <c r="K29" s="689"/>
      <c r="L29" s="687"/>
      <c r="M29" s="709"/>
      <c r="N29" s="710"/>
      <c r="O29" s="689"/>
      <c r="P29" s="687"/>
      <c r="Q29" s="709"/>
      <c r="R29" s="710"/>
      <c r="S29" s="689"/>
      <c r="T29" s="687"/>
      <c r="U29" s="688"/>
      <c r="V29" s="687"/>
      <c r="W29" s="689"/>
      <c r="X29" s="687"/>
      <c r="Y29" s="688"/>
      <c r="Z29" s="687"/>
      <c r="AA29" s="689"/>
      <c r="AB29" s="690"/>
      <c r="AD29" s="165"/>
      <c r="AF29" s="166"/>
    </row>
    <row r="30" spans="2:32" ht="24" thickBot="1">
      <c r="B30" s="718" t="s">
        <v>217</v>
      </c>
      <c r="C30" s="22"/>
      <c r="D30" s="22"/>
      <c r="E30" s="913" t="s">
        <v>268</v>
      </c>
      <c r="F30" s="914"/>
      <c r="G30" s="272">
        <f>+'Treatment Scenario Costs'!$B$16</f>
        <v>12</v>
      </c>
      <c r="H30" s="22"/>
      <c r="I30" s="913" t="s">
        <v>268</v>
      </c>
      <c r="J30" s="914"/>
      <c r="K30" s="272">
        <f>+'Treatment Scenario Costs'!$B$16</f>
        <v>12</v>
      </c>
      <c r="L30" s="22"/>
      <c r="M30" s="913" t="s">
        <v>268</v>
      </c>
      <c r="N30" s="914"/>
      <c r="O30" s="272">
        <f>+'Treatment Scenario Costs'!$B$16</f>
        <v>12</v>
      </c>
      <c r="P30" s="847"/>
      <c r="Q30" s="913" t="s">
        <v>268</v>
      </c>
      <c r="R30" s="914"/>
      <c r="S30" s="272">
        <f>+'Treatment Scenario Costs'!$B$16</f>
        <v>12</v>
      </c>
      <c r="T30" s="22"/>
      <c r="U30" s="913" t="s">
        <v>268</v>
      </c>
      <c r="V30" s="914"/>
      <c r="W30" s="272">
        <f>+'Treatment Scenario Costs'!$B$16</f>
        <v>12</v>
      </c>
      <c r="X30" s="847"/>
      <c r="Y30" s="913" t="s">
        <v>268</v>
      </c>
      <c r="Z30" s="914"/>
      <c r="AA30" s="272">
        <f>+'Treatment Scenario Costs'!$B$16</f>
        <v>12</v>
      </c>
      <c r="AB30" s="691"/>
      <c r="AD30" s="165"/>
      <c r="AF30" s="166"/>
    </row>
    <row r="31" spans="2:32" ht="24.75" customHeight="1" thickBot="1">
      <c r="B31" s="425"/>
      <c r="C31" s="22"/>
      <c r="D31" s="22"/>
      <c r="E31" s="913" t="s">
        <v>502</v>
      </c>
      <c r="F31" s="914"/>
      <c r="G31" s="686">
        <f>+'Treatment Scenario Costs'!$C$20</f>
        <v>0.25</v>
      </c>
      <c r="H31" s="22"/>
      <c r="I31" s="913" t="s">
        <v>502</v>
      </c>
      <c r="J31" s="914"/>
      <c r="K31" s="686">
        <f>+'Treatment Scenario Costs'!$C$20</f>
        <v>0.25</v>
      </c>
      <c r="L31" s="22"/>
      <c r="M31" s="913" t="s">
        <v>502</v>
      </c>
      <c r="N31" s="914"/>
      <c r="O31" s="686">
        <f>+'Treatment Scenario Costs'!$C$20</f>
        <v>0.25</v>
      </c>
      <c r="P31" s="846"/>
      <c r="Q31" s="913" t="s">
        <v>502</v>
      </c>
      <c r="R31" s="914"/>
      <c r="S31" s="686">
        <f>+'Treatment Scenario Costs'!$C$20</f>
        <v>0.25</v>
      </c>
      <c r="T31" s="22"/>
      <c r="U31" s="913" t="s">
        <v>502</v>
      </c>
      <c r="V31" s="914"/>
      <c r="W31" s="686">
        <f>+'Treatment Scenario Costs'!$C$20</f>
        <v>0.25</v>
      </c>
      <c r="X31" s="846"/>
      <c r="Y31" s="913" t="s">
        <v>502</v>
      </c>
      <c r="Z31" s="914"/>
      <c r="AA31" s="686">
        <f>+'Treatment Scenario Costs'!$C$20</f>
        <v>0.25</v>
      </c>
      <c r="AB31" s="691"/>
      <c r="AD31" s="165"/>
      <c r="AF31" s="166"/>
    </row>
    <row r="32" spans="2:32" ht="12.75" customHeight="1" thickBot="1">
      <c r="B32" s="692"/>
      <c r="C32" s="711"/>
      <c r="D32" s="712"/>
      <c r="E32" s="713"/>
      <c r="F32" s="714"/>
      <c r="G32" s="715"/>
      <c r="H32" s="698"/>
      <c r="I32" s="713"/>
      <c r="J32" s="714"/>
      <c r="K32" s="715"/>
      <c r="L32" s="698"/>
      <c r="M32" s="713"/>
      <c r="N32" s="714"/>
      <c r="O32" s="715"/>
      <c r="P32" s="714"/>
      <c r="Q32" s="713"/>
      <c r="R32" s="714"/>
      <c r="S32" s="715"/>
      <c r="T32" s="698"/>
      <c r="U32" s="695"/>
      <c r="V32" s="698"/>
      <c r="W32" s="697"/>
      <c r="X32" s="698"/>
      <c r="Y32" s="695"/>
      <c r="Z32" s="698"/>
      <c r="AA32" s="697"/>
      <c r="AB32" s="699"/>
      <c r="AD32" s="165"/>
      <c r="AE32" s="22"/>
      <c r="AF32" s="166"/>
    </row>
    <row r="33" spans="3:32" ht="30" customHeight="1" thickBot="1" thickTop="1">
      <c r="C33" s="247"/>
      <c r="D33" s="173"/>
      <c r="E33" s="202"/>
      <c r="F33" s="175"/>
      <c r="G33" s="203"/>
      <c r="I33" s="202"/>
      <c r="J33" s="175"/>
      <c r="K33" s="203"/>
      <c r="M33" s="202"/>
      <c r="N33" s="175"/>
      <c r="O33" s="203"/>
      <c r="P33" s="175"/>
      <c r="Q33" s="202"/>
      <c r="R33" s="175"/>
      <c r="S33" s="203"/>
      <c r="U33" s="165"/>
      <c r="V33" s="22"/>
      <c r="W33" s="166"/>
      <c r="X33" s="22"/>
      <c r="Y33" s="165"/>
      <c r="Z33" s="22"/>
      <c r="AA33" s="166"/>
      <c r="AD33" s="165"/>
      <c r="AE33" s="22"/>
      <c r="AF33" s="166"/>
    </row>
    <row r="34" spans="1:33" ht="26.25" customHeight="1">
      <c r="A34" s="939" t="s">
        <v>226</v>
      </c>
      <c r="B34" s="880"/>
      <c r="C34" s="880"/>
      <c r="D34" s="880"/>
      <c r="E34" s="249"/>
      <c r="F34" s="248"/>
      <c r="G34" s="250"/>
      <c r="H34" s="248"/>
      <c r="I34" s="249"/>
      <c r="J34" s="248"/>
      <c r="K34" s="250"/>
      <c r="L34" s="248"/>
      <c r="M34" s="249"/>
      <c r="N34" s="248"/>
      <c r="O34" s="250"/>
      <c r="P34" s="248"/>
      <c r="Q34" s="249"/>
      <c r="R34" s="248"/>
      <c r="S34" s="250"/>
      <c r="T34" s="248"/>
      <c r="U34" s="249"/>
      <c r="V34" s="248"/>
      <c r="W34" s="250"/>
      <c r="X34" s="248"/>
      <c r="Y34" s="249"/>
      <c r="Z34" s="248"/>
      <c r="AA34" s="250"/>
      <c r="AB34" s="248"/>
      <c r="AC34" s="248"/>
      <c r="AD34" s="249"/>
      <c r="AE34" s="248"/>
      <c r="AF34" s="250"/>
      <c r="AG34" s="251"/>
    </row>
    <row r="35" spans="1:33" ht="53.25" customHeight="1">
      <c r="A35" s="252"/>
      <c r="B35" s="889" t="s">
        <v>499</v>
      </c>
      <c r="C35" s="890"/>
      <c r="D35" s="890"/>
      <c r="E35" s="267" t="s">
        <v>156</v>
      </c>
      <c r="F35" s="268" t="s">
        <v>158</v>
      </c>
      <c r="G35" s="269" t="s">
        <v>157</v>
      </c>
      <c r="H35" s="22"/>
      <c r="I35" s="267" t="s">
        <v>156</v>
      </c>
      <c r="J35" s="268" t="s">
        <v>158</v>
      </c>
      <c r="K35" s="269" t="s">
        <v>157</v>
      </c>
      <c r="L35" s="22"/>
      <c r="M35" s="267" t="s">
        <v>156</v>
      </c>
      <c r="N35" s="268" t="s">
        <v>158</v>
      </c>
      <c r="O35" s="269" t="s">
        <v>157</v>
      </c>
      <c r="P35" s="849"/>
      <c r="Q35" s="267" t="s">
        <v>156</v>
      </c>
      <c r="R35" s="268" t="s">
        <v>158</v>
      </c>
      <c r="S35" s="269" t="s">
        <v>157</v>
      </c>
      <c r="T35" s="22"/>
      <c r="U35" s="267" t="s">
        <v>156</v>
      </c>
      <c r="V35" s="268" t="s">
        <v>158</v>
      </c>
      <c r="W35" s="269" t="s">
        <v>157</v>
      </c>
      <c r="X35" s="849"/>
      <c r="Y35" s="267" t="s">
        <v>156</v>
      </c>
      <c r="Z35" s="268" t="s">
        <v>158</v>
      </c>
      <c r="AA35" s="269" t="s">
        <v>157</v>
      </c>
      <c r="AB35" s="22"/>
      <c r="AC35" s="22"/>
      <c r="AD35" s="165"/>
      <c r="AE35" s="716" t="s">
        <v>195</v>
      </c>
      <c r="AF35" s="166"/>
      <c r="AG35" s="253"/>
    </row>
    <row r="36" spans="1:33" ht="18.75" customHeight="1">
      <c r="A36" s="252"/>
      <c r="B36" s="22"/>
      <c r="C36" s="270"/>
      <c r="D36" s="271"/>
      <c r="E36" s="167"/>
      <c r="F36" s="22"/>
      <c r="G36" s="166"/>
      <c r="H36" s="22"/>
      <c r="I36" s="165"/>
      <c r="J36" s="22"/>
      <c r="K36" s="166"/>
      <c r="L36" s="22"/>
      <c r="M36" s="165"/>
      <c r="N36" s="22"/>
      <c r="O36" s="166"/>
      <c r="P36" s="22"/>
      <c r="Q36" s="165"/>
      <c r="R36" s="22"/>
      <c r="S36" s="166"/>
      <c r="T36" s="22"/>
      <c r="U36" s="165"/>
      <c r="V36" s="22"/>
      <c r="W36" s="166"/>
      <c r="X36" s="22"/>
      <c r="Y36" s="165"/>
      <c r="Z36" s="22"/>
      <c r="AA36" s="166"/>
      <c r="AB36" s="22"/>
      <c r="AC36" s="22"/>
      <c r="AD36" s="165"/>
      <c r="AE36" s="22"/>
      <c r="AF36" s="166"/>
      <c r="AG36" s="253"/>
    </row>
    <row r="37" spans="1:33" ht="15" customHeight="1">
      <c r="A37" s="252"/>
      <c r="B37" s="22"/>
      <c r="C37" s="891" t="s">
        <v>161</v>
      </c>
      <c r="D37" s="163">
        <v>1</v>
      </c>
      <c r="E37" s="676">
        <f>+'Scenario Costs All Facilities'!E135/1000000</f>
        <v>3.257</v>
      </c>
      <c r="F37" s="677">
        <f>+'Scenario Costs All Facilities'!F135/1000000</f>
        <v>3.318</v>
      </c>
      <c r="G37" s="678">
        <f>+'Scenario Costs All Facilities'!G135/1000000</f>
        <v>3.961</v>
      </c>
      <c r="H37" s="683"/>
      <c r="I37" s="676">
        <f>+'Scenario Costs All Facilities'!I135/1000000</f>
        <v>3.439</v>
      </c>
      <c r="J37" s="677">
        <f>+'Scenario Costs All Facilities'!K135/1000000</f>
        <v>3.496</v>
      </c>
      <c r="K37" s="678">
        <f>+'Scenario Costs All Facilities'!L135/1000000</f>
        <v>4.097</v>
      </c>
      <c r="L37" s="683"/>
      <c r="M37" s="676">
        <f>+'Scenario Costs All Facilities'!N135/1000000</f>
        <v>2.848</v>
      </c>
      <c r="N37" s="677">
        <f>+'Scenario Costs All Facilities'!O135/1000000</f>
        <v>2.905</v>
      </c>
      <c r="O37" s="678">
        <f>+'Scenario Costs All Facilities'!P135/1000000</f>
        <v>3.506</v>
      </c>
      <c r="P37" s="851"/>
      <c r="Q37" s="676">
        <f>+'Scenario Costs All Facilities'!R135/1000000</f>
        <v>3.09</v>
      </c>
      <c r="R37" s="677">
        <f>+'Scenario Costs All Facilities'!S135/1000000</f>
        <v>3.147</v>
      </c>
      <c r="S37" s="678">
        <f>+'Scenario Costs All Facilities'!T135/1000000</f>
        <v>3.748</v>
      </c>
      <c r="T37" s="683"/>
      <c r="U37" s="676">
        <f>'Scenario Costs All Facilities'!V135/1000000</f>
        <v>3.495</v>
      </c>
      <c r="V37" s="677">
        <f>'Scenario Costs All Facilities'!W135/1000000</f>
        <v>3.552</v>
      </c>
      <c r="W37" s="678">
        <f>'Scenario Costs All Facilities'!X135/1000000</f>
        <v>4.153</v>
      </c>
      <c r="X37" s="851"/>
      <c r="Y37" s="676">
        <f>'Scenario Costs All Facilities'!Z135/1000000</f>
        <v>3.19</v>
      </c>
      <c r="Z37" s="677">
        <f>'Scenario Costs All Facilities'!AA135/1000000</f>
        <v>3.247</v>
      </c>
      <c r="AA37" s="678">
        <f>'Scenario Costs All Facilities'!AB135/1000000</f>
        <v>3.848</v>
      </c>
      <c r="AB37" s="22"/>
      <c r="AC37" s="22"/>
      <c r="AD37" s="165"/>
      <c r="AE37" s="881">
        <f>+'Status quo costs All Facilities'!G47/1000000</f>
        <v>3.695</v>
      </c>
      <c r="AF37" s="166"/>
      <c r="AG37" s="253"/>
    </row>
    <row r="38" spans="1:36" ht="15" customHeight="1">
      <c r="A38" s="252"/>
      <c r="B38" s="22"/>
      <c r="C38" s="891"/>
      <c r="D38" s="163">
        <v>3</v>
      </c>
      <c r="E38" s="676">
        <f>+'Scenario Costs All Facilities'!E136/1000000</f>
        <v>3.561</v>
      </c>
      <c r="F38" s="677">
        <f>+'Scenario Costs All Facilities'!F136/1000000</f>
        <v>3.622</v>
      </c>
      <c r="G38" s="678">
        <f>+'Scenario Costs All Facilities'!G136/1000000</f>
        <v>3.842</v>
      </c>
      <c r="H38" s="683"/>
      <c r="I38" s="676">
        <f>+'Scenario Costs All Facilities'!I136/1000000</f>
        <v>3.664</v>
      </c>
      <c r="J38" s="677">
        <f>+'Scenario Costs All Facilities'!K136/1000000</f>
        <v>3.721</v>
      </c>
      <c r="K38" s="678">
        <f>+'Scenario Costs All Facilities'!L136/1000000</f>
        <v>3.927</v>
      </c>
      <c r="L38" s="683"/>
      <c r="M38" s="676">
        <f>+'Scenario Costs All Facilities'!N136/1000000</f>
        <v>3.135</v>
      </c>
      <c r="N38" s="677">
        <f>+'Scenario Costs All Facilities'!O136/1000000</f>
        <v>3.192</v>
      </c>
      <c r="O38" s="678">
        <f>+'Scenario Costs All Facilities'!P136/1000000</f>
        <v>3.398</v>
      </c>
      <c r="P38" s="851"/>
      <c r="Q38" s="676">
        <f>+'Scenario Costs All Facilities'!R136/1000000</f>
        <v>3.357</v>
      </c>
      <c r="R38" s="677">
        <f>+'Scenario Costs All Facilities'!S136/1000000</f>
        <v>3.414</v>
      </c>
      <c r="S38" s="678">
        <f>+'Scenario Costs All Facilities'!T136/1000000</f>
        <v>3.62</v>
      </c>
      <c r="T38" s="683"/>
      <c r="U38" s="676">
        <f>'Scenario Costs All Facilities'!V136/1000000</f>
        <v>3.677</v>
      </c>
      <c r="V38" s="677">
        <f>'Scenario Costs All Facilities'!W136/1000000</f>
        <v>3.734</v>
      </c>
      <c r="W38" s="678">
        <f>'Scenario Costs All Facilities'!X136/1000000</f>
        <v>3.94</v>
      </c>
      <c r="X38" s="851"/>
      <c r="Y38" s="676">
        <f>'Scenario Costs All Facilities'!Z136/1000000</f>
        <v>3.502</v>
      </c>
      <c r="Z38" s="677">
        <f>'Scenario Costs All Facilities'!AA136/1000000</f>
        <v>3.559</v>
      </c>
      <c r="AA38" s="678">
        <f>'Scenario Costs All Facilities'!AB136/1000000</f>
        <v>3.765</v>
      </c>
      <c r="AB38" s="22"/>
      <c r="AC38" s="22"/>
      <c r="AD38" s="165"/>
      <c r="AE38" s="882"/>
      <c r="AF38" s="166"/>
      <c r="AG38" s="253"/>
      <c r="AI38" s="682"/>
      <c r="AJ38" s="682"/>
    </row>
    <row r="39" spans="1:33" ht="15" customHeight="1">
      <c r="A39" s="252"/>
      <c r="B39" s="22"/>
      <c r="C39" s="891"/>
      <c r="D39" s="163">
        <v>10</v>
      </c>
      <c r="E39" s="676">
        <f>+'Scenario Costs All Facilities'!E137/1000000</f>
        <v>4.653</v>
      </c>
      <c r="F39" s="677">
        <f>+'Scenario Costs All Facilities'!F137/1000000</f>
        <v>4.793</v>
      </c>
      <c r="G39" s="678">
        <f>+'Scenario Costs All Facilities'!G137/1000000</f>
        <v>4.723</v>
      </c>
      <c r="H39" s="683"/>
      <c r="I39" s="676">
        <f>+'Scenario Costs All Facilities'!I137/1000000</f>
        <v>4.606</v>
      </c>
      <c r="J39" s="677">
        <f>+'Scenario Costs All Facilities'!K137/1000000</f>
        <v>4.737</v>
      </c>
      <c r="K39" s="678">
        <f>+'Scenario Costs All Facilities'!L137/1000000</f>
        <v>4.671</v>
      </c>
      <c r="L39" s="683"/>
      <c r="M39" s="676">
        <f>+'Scenario Costs All Facilities'!N137/1000000</f>
        <v>4.157</v>
      </c>
      <c r="N39" s="677">
        <f>+'Scenario Costs All Facilities'!O137/1000000</f>
        <v>4.288</v>
      </c>
      <c r="O39" s="678">
        <f>+'Scenario Costs All Facilities'!P137/1000000</f>
        <v>4.222</v>
      </c>
      <c r="P39" s="851"/>
      <c r="Q39" s="676">
        <f>+'Scenario Costs All Facilities'!R137/1000000</f>
        <v>4.353</v>
      </c>
      <c r="R39" s="677">
        <f>+'Scenario Costs All Facilities'!S137/1000000</f>
        <v>4.484</v>
      </c>
      <c r="S39" s="678">
        <f>+'Scenario Costs All Facilities'!T137/1000000</f>
        <v>4.418</v>
      </c>
      <c r="T39" s="683"/>
      <c r="U39" s="676">
        <f>'Scenario Costs All Facilities'!V137/1000000</f>
        <v>4.565</v>
      </c>
      <c r="V39" s="677">
        <f>'Scenario Costs All Facilities'!W137/1000000</f>
        <v>4.696</v>
      </c>
      <c r="W39" s="678">
        <f>'Scenario Costs All Facilities'!X137/1000000</f>
        <v>4.63</v>
      </c>
      <c r="X39" s="851"/>
      <c r="Y39" s="676">
        <f>'Scenario Costs All Facilities'!Z137/1000000</f>
        <v>4.556</v>
      </c>
      <c r="Z39" s="677">
        <f>'Scenario Costs All Facilities'!AA137/1000000</f>
        <v>4.687</v>
      </c>
      <c r="AA39" s="678">
        <f>'Scenario Costs All Facilities'!AB137/1000000</f>
        <v>4.621</v>
      </c>
      <c r="AB39" s="22"/>
      <c r="AC39" s="22"/>
      <c r="AD39" s="165"/>
      <c r="AE39" s="882"/>
      <c r="AF39" s="166"/>
      <c r="AG39" s="253"/>
    </row>
    <row r="40" spans="1:33" ht="15" customHeight="1" thickBot="1">
      <c r="A40" s="252"/>
      <c r="B40" s="22"/>
      <c r="C40" s="891"/>
      <c r="D40" s="163">
        <v>20</v>
      </c>
      <c r="E40" s="679">
        <f>+'Scenario Costs All Facilities'!E138/1000000</f>
        <v>6.191</v>
      </c>
      <c r="F40" s="680">
        <f>+'Scenario Costs All Facilities'!F138/1000000</f>
        <v>6.561</v>
      </c>
      <c r="G40" s="681">
        <f>+'Scenario Costs All Facilities'!G138/1000000</f>
        <v>6.253</v>
      </c>
      <c r="H40" s="683"/>
      <c r="I40" s="679">
        <f>+'Scenario Costs All Facilities'!I138/1000000</f>
        <v>6.011</v>
      </c>
      <c r="J40" s="680">
        <f>+'Scenario Costs All Facilities'!K138/1000000</f>
        <v>6.356</v>
      </c>
      <c r="K40" s="681">
        <f>+'Scenario Costs All Facilities'!L138/1000000</f>
        <v>6.068</v>
      </c>
      <c r="L40" s="683"/>
      <c r="M40" s="679">
        <f>+'Scenario Costs All Facilities'!N138/1000000</f>
        <v>5.596</v>
      </c>
      <c r="N40" s="680">
        <f>+'Scenario Costs All Facilities'!O138/1000000</f>
        <v>5.941</v>
      </c>
      <c r="O40" s="681">
        <f>+'Scenario Costs All Facilities'!P138/1000000</f>
        <v>5.653</v>
      </c>
      <c r="P40" s="851"/>
      <c r="Q40" s="679">
        <f>+'Scenario Costs All Facilities'!R138/1000000</f>
        <v>5.781</v>
      </c>
      <c r="R40" s="680">
        <f>+'Scenario Costs All Facilities'!S138/1000000</f>
        <v>6.126</v>
      </c>
      <c r="S40" s="681">
        <f>+'Scenario Costs All Facilities'!T138/1000000</f>
        <v>5.838</v>
      </c>
      <c r="T40" s="683"/>
      <c r="U40" s="679">
        <f>'Scenario Costs All Facilities'!V138/1000000</f>
        <v>5.945</v>
      </c>
      <c r="V40" s="680">
        <f>'Scenario Costs All Facilities'!W138/1000000</f>
        <v>6.29</v>
      </c>
      <c r="W40" s="681">
        <f>'Scenario Costs All Facilities'!X138/1000000</f>
        <v>6.002</v>
      </c>
      <c r="X40" s="851"/>
      <c r="Y40" s="679">
        <f>'Scenario Costs All Facilities'!Z138/1000000</f>
        <v>6.01</v>
      </c>
      <c r="Z40" s="680">
        <f>'Scenario Costs All Facilities'!AA138/1000000</f>
        <v>6.355</v>
      </c>
      <c r="AA40" s="681">
        <f>'Scenario Costs All Facilities'!AB138/1000000</f>
        <v>6.067</v>
      </c>
      <c r="AB40" s="22"/>
      <c r="AC40" s="22"/>
      <c r="AD40" s="165"/>
      <c r="AE40" s="935"/>
      <c r="AF40" s="166"/>
      <c r="AG40" s="253"/>
    </row>
    <row r="41" spans="1:33" ht="15" customHeight="1" thickBot="1">
      <c r="A41" s="254"/>
      <c r="B41" s="255"/>
      <c r="C41" s="256"/>
      <c r="D41" s="257"/>
      <c r="E41" s="258"/>
      <c r="F41" s="259"/>
      <c r="G41" s="260"/>
      <c r="H41" s="255"/>
      <c r="I41" s="261"/>
      <c r="J41" s="262"/>
      <c r="K41" s="263"/>
      <c r="L41" s="255"/>
      <c r="M41" s="261"/>
      <c r="N41" s="262"/>
      <c r="O41" s="263"/>
      <c r="P41" s="262"/>
      <c r="Q41" s="261"/>
      <c r="R41" s="262"/>
      <c r="S41" s="263"/>
      <c r="T41" s="255"/>
      <c r="U41" s="264"/>
      <c r="V41" s="255"/>
      <c r="W41" s="265"/>
      <c r="X41" s="255"/>
      <c r="Y41" s="264"/>
      <c r="Z41" s="255"/>
      <c r="AA41" s="265"/>
      <c r="AB41" s="255"/>
      <c r="AC41" s="255"/>
      <c r="AD41" s="264"/>
      <c r="AE41" s="255"/>
      <c r="AF41" s="265"/>
      <c r="AG41" s="266"/>
    </row>
    <row r="42" spans="3:32" ht="40.5" customHeight="1" thickBot="1">
      <c r="C42" s="172"/>
      <c r="D42" s="173"/>
      <c r="E42" s="204"/>
      <c r="F42" s="174"/>
      <c r="G42" s="205"/>
      <c r="I42" s="936" t="s">
        <v>501</v>
      </c>
      <c r="J42" s="937"/>
      <c r="K42" s="938"/>
      <c r="M42" s="202"/>
      <c r="N42" s="175"/>
      <c r="O42" s="203"/>
      <c r="P42" s="175"/>
      <c r="Q42" s="202"/>
      <c r="R42" s="175"/>
      <c r="S42" s="203"/>
      <c r="U42" s="165"/>
      <c r="V42" s="22"/>
      <c r="W42" s="166"/>
      <c r="X42" s="22"/>
      <c r="Y42" s="165"/>
      <c r="Z42" s="22"/>
      <c r="AA42" s="166"/>
      <c r="AD42" s="165"/>
      <c r="AE42" s="22"/>
      <c r="AF42" s="166"/>
    </row>
    <row r="43" spans="1:33" ht="27" customHeight="1">
      <c r="A43" s="892" t="s">
        <v>227</v>
      </c>
      <c r="B43" s="880"/>
      <c r="C43" s="880"/>
      <c r="D43" s="880"/>
      <c r="E43" s="249"/>
      <c r="F43" s="248"/>
      <c r="G43" s="250"/>
      <c r="H43" s="248"/>
      <c r="I43" s="249"/>
      <c r="J43" s="248"/>
      <c r="K43" s="250"/>
      <c r="L43" s="248"/>
      <c r="M43" s="249"/>
      <c r="N43" s="248"/>
      <c r="O43" s="250"/>
      <c r="P43" s="248"/>
      <c r="Q43" s="249"/>
      <c r="R43" s="248"/>
      <c r="S43" s="250"/>
      <c r="T43" s="248"/>
      <c r="U43" s="249"/>
      <c r="V43" s="248"/>
      <c r="W43" s="250"/>
      <c r="X43" s="248"/>
      <c r="Y43" s="249"/>
      <c r="Z43" s="248"/>
      <c r="AA43" s="250"/>
      <c r="AB43" s="248"/>
      <c r="AC43" s="248"/>
      <c r="AD43" s="249"/>
      <c r="AE43" s="248"/>
      <c r="AF43" s="250"/>
      <c r="AG43" s="251"/>
    </row>
    <row r="44" spans="1:33" ht="49.5" customHeight="1">
      <c r="A44" s="252"/>
      <c r="B44" s="889" t="s">
        <v>499</v>
      </c>
      <c r="C44" s="890"/>
      <c r="D44" s="890"/>
      <c r="E44" s="267" t="s">
        <v>156</v>
      </c>
      <c r="F44" s="268" t="s">
        <v>158</v>
      </c>
      <c r="G44" s="269" t="s">
        <v>157</v>
      </c>
      <c r="H44" s="22"/>
      <c r="I44" s="267" t="s">
        <v>156</v>
      </c>
      <c r="J44" s="268" t="s">
        <v>158</v>
      </c>
      <c r="K44" s="269" t="s">
        <v>157</v>
      </c>
      <c r="L44" s="22"/>
      <c r="M44" s="267" t="s">
        <v>156</v>
      </c>
      <c r="N44" s="268" t="s">
        <v>158</v>
      </c>
      <c r="O44" s="269" t="s">
        <v>157</v>
      </c>
      <c r="P44" s="849"/>
      <c r="Q44" s="267" t="s">
        <v>156</v>
      </c>
      <c r="R44" s="268" t="s">
        <v>158</v>
      </c>
      <c r="S44" s="269" t="s">
        <v>157</v>
      </c>
      <c r="T44" s="22"/>
      <c r="U44" s="267" t="s">
        <v>156</v>
      </c>
      <c r="V44" s="268" t="s">
        <v>158</v>
      </c>
      <c r="W44" s="269" t="s">
        <v>157</v>
      </c>
      <c r="X44" s="849"/>
      <c r="Y44" s="267" t="s">
        <v>156</v>
      </c>
      <c r="Z44" s="268" t="s">
        <v>158</v>
      </c>
      <c r="AA44" s="269" t="s">
        <v>157</v>
      </c>
      <c r="AB44" s="22"/>
      <c r="AC44" s="22"/>
      <c r="AD44" s="165"/>
      <c r="AE44" s="22"/>
      <c r="AF44" s="166"/>
      <c r="AG44" s="253"/>
    </row>
    <row r="45" spans="1:33" ht="18.75" customHeight="1">
      <c r="A45" s="252"/>
      <c r="B45" s="22"/>
      <c r="C45" s="270"/>
      <c r="D45" s="271"/>
      <c r="E45" s="167"/>
      <c r="F45" s="22"/>
      <c r="G45" s="166"/>
      <c r="H45" s="22"/>
      <c r="I45" s="165"/>
      <c r="J45" s="22"/>
      <c r="K45" s="166"/>
      <c r="L45" s="22"/>
      <c r="M45" s="165"/>
      <c r="N45" s="22"/>
      <c r="O45" s="166"/>
      <c r="P45" s="22"/>
      <c r="Q45" s="165"/>
      <c r="R45" s="22"/>
      <c r="S45" s="166"/>
      <c r="T45" s="22"/>
      <c r="U45" s="165"/>
      <c r="V45" s="22"/>
      <c r="W45" s="166"/>
      <c r="X45" s="22"/>
      <c r="Y45" s="165"/>
      <c r="Z45" s="22"/>
      <c r="AA45" s="166"/>
      <c r="AB45" s="22"/>
      <c r="AC45" s="22"/>
      <c r="AD45" s="165"/>
      <c r="AE45" s="22"/>
      <c r="AF45" s="166"/>
      <c r="AG45" s="253"/>
    </row>
    <row r="46" spans="1:33" ht="15" customHeight="1">
      <c r="A46" s="252"/>
      <c r="B46" s="22"/>
      <c r="C46" s="891" t="s">
        <v>161</v>
      </c>
      <c r="D46" s="163">
        <v>1</v>
      </c>
      <c r="E46" s="676">
        <f>'Scenario Costs Provincial'!E135/1000000</f>
        <v>1.741</v>
      </c>
      <c r="F46" s="677">
        <f>'Scenario Costs Provincial'!F135/1000000</f>
        <v>1.754</v>
      </c>
      <c r="G46" s="678">
        <f>'Scenario Costs Provincial'!G135/1000000</f>
        <v>2.025</v>
      </c>
      <c r="H46" s="22"/>
      <c r="I46" s="676">
        <f>'Scenario Costs Provincial'!I135/1000000</f>
        <v>1.81</v>
      </c>
      <c r="J46" s="677">
        <f>'Scenario Costs Provincial'!K135/1000000</f>
        <v>1.822</v>
      </c>
      <c r="K46" s="678">
        <f>'Scenario Costs Provincial'!L135/1000000</f>
        <v>2.075</v>
      </c>
      <c r="L46" s="22"/>
      <c r="M46" s="676">
        <f>'Scenario Costs Provincial'!N135/1000000</f>
        <v>1.526</v>
      </c>
      <c r="N46" s="677">
        <f>'Scenario Costs Provincial'!O135/1000000</f>
        <v>1.538</v>
      </c>
      <c r="O46" s="678">
        <f>'Scenario Costs Provincial'!P135/1000000</f>
        <v>1.791</v>
      </c>
      <c r="P46" s="851"/>
      <c r="Q46" s="676">
        <f>'Scenario Costs Provincial'!R135/1000000</f>
        <v>1.662</v>
      </c>
      <c r="R46" s="677">
        <f>'Scenario Costs Provincial'!S135/1000000</f>
        <v>1.674</v>
      </c>
      <c r="S46" s="678">
        <f>'Scenario Costs Provincial'!T135/1000000</f>
        <v>1.927</v>
      </c>
      <c r="T46" s="22"/>
      <c r="U46" s="676">
        <f>'Scenario Costs Provincial'!V135/1000000</f>
        <v>1.86</v>
      </c>
      <c r="V46" s="677">
        <f>'Scenario Costs Provincial'!W135/1000000</f>
        <v>1.872</v>
      </c>
      <c r="W46" s="678">
        <f>'Scenario Costs Provincial'!X135/1000000</f>
        <v>2.125</v>
      </c>
      <c r="X46" s="851"/>
      <c r="Y46" s="676">
        <f>'Scenario Costs Provincial'!Z135/1000000</f>
        <v>1.68</v>
      </c>
      <c r="Z46" s="677">
        <f>'Scenario Costs Provincial'!AA135/1000000</f>
        <v>1.692</v>
      </c>
      <c r="AA46" s="678">
        <f>'Scenario Costs Provincial'!AB135/1000000</f>
        <v>1.945</v>
      </c>
      <c r="AB46" s="22"/>
      <c r="AC46" s="22"/>
      <c r="AD46" s="165"/>
      <c r="AE46" s="881">
        <f>+'Status quo costs Provincial '!G47/1000000</f>
        <v>1.809</v>
      </c>
      <c r="AF46" s="166"/>
      <c r="AG46" s="253"/>
    </row>
    <row r="47" spans="1:33" ht="15" customHeight="1">
      <c r="A47" s="252"/>
      <c r="B47" s="22"/>
      <c r="C47" s="891"/>
      <c r="D47" s="163">
        <v>3</v>
      </c>
      <c r="E47" s="676">
        <f>'Scenario Costs Provincial'!E136/1000000</f>
        <v>2.05</v>
      </c>
      <c r="F47" s="677">
        <f>'Scenario Costs Provincial'!F136/1000000</f>
        <v>2.093</v>
      </c>
      <c r="G47" s="678">
        <f>'Scenario Costs Provincial'!G136/1000000</f>
        <v>2.127</v>
      </c>
      <c r="H47" s="22"/>
      <c r="I47" s="676">
        <f>'Scenario Costs Provincial'!I136/1000000</f>
        <v>2.069</v>
      </c>
      <c r="J47" s="677">
        <f>'Scenario Costs Provincial'!K136/1000000</f>
        <v>2.109</v>
      </c>
      <c r="K47" s="678">
        <f>'Scenario Costs Provincial'!L136/1000000</f>
        <v>2.141</v>
      </c>
      <c r="L47" s="22"/>
      <c r="M47" s="676">
        <f>'Scenario Costs Provincial'!N136/1000000</f>
        <v>1.815</v>
      </c>
      <c r="N47" s="677">
        <f>'Scenario Costs Provincial'!O136/1000000</f>
        <v>1.855</v>
      </c>
      <c r="O47" s="678">
        <f>'Scenario Costs Provincial'!P136/1000000</f>
        <v>1.887</v>
      </c>
      <c r="P47" s="851"/>
      <c r="Q47" s="676">
        <f>'Scenario Costs Provincial'!R136/1000000</f>
        <v>1.941</v>
      </c>
      <c r="R47" s="677">
        <f>'Scenario Costs Provincial'!S136/1000000</f>
        <v>1.981</v>
      </c>
      <c r="S47" s="678">
        <f>'Scenario Costs Provincial'!T136/1000000</f>
        <v>2.013</v>
      </c>
      <c r="T47" s="22"/>
      <c r="U47" s="676">
        <f>'Scenario Costs Provincial'!V136/1000000</f>
        <v>2.098</v>
      </c>
      <c r="V47" s="677">
        <f>'Scenario Costs Provincial'!W136/1000000</f>
        <v>2.138</v>
      </c>
      <c r="W47" s="678">
        <f>'Scenario Costs Provincial'!X136/1000000</f>
        <v>2.17</v>
      </c>
      <c r="X47" s="851"/>
      <c r="Y47" s="676">
        <f>'Scenario Costs Provincial'!Z136/1000000</f>
        <v>1.981</v>
      </c>
      <c r="Z47" s="677">
        <f>'Scenario Costs Provincial'!AA136/1000000</f>
        <v>2.021</v>
      </c>
      <c r="AA47" s="678">
        <f>'Scenario Costs Provincial'!AB136/1000000</f>
        <v>2.053</v>
      </c>
      <c r="AB47" s="22"/>
      <c r="AC47" s="22"/>
      <c r="AD47" s="165"/>
      <c r="AE47" s="882"/>
      <c r="AF47" s="166"/>
      <c r="AG47" s="253"/>
    </row>
    <row r="48" spans="1:33" ht="15" customHeight="1">
      <c r="A48" s="252"/>
      <c r="B48" s="22"/>
      <c r="C48" s="891"/>
      <c r="D48" s="163">
        <v>10</v>
      </c>
      <c r="E48" s="676">
        <f>'Scenario Costs Provincial'!E137/1000000</f>
        <v>3.103</v>
      </c>
      <c r="F48" s="677">
        <f>'Scenario Costs Provincial'!F137/1000000</f>
        <v>3.288</v>
      </c>
      <c r="G48" s="678">
        <f>'Scenario Costs Provincial'!G137/1000000</f>
        <v>3.137</v>
      </c>
      <c r="H48" s="22"/>
      <c r="I48" s="676">
        <f>'Scenario Costs Provincial'!I137/1000000</f>
        <v>3.015</v>
      </c>
      <c r="J48" s="677">
        <f>'Scenario Costs Provincial'!K137/1000000</f>
        <v>3.188</v>
      </c>
      <c r="K48" s="678">
        <f>'Scenario Costs Provincial'!L137/1000000</f>
        <v>3.048</v>
      </c>
      <c r="L48" s="22"/>
      <c r="M48" s="676">
        <f>'Scenario Costs Provincial'!N137/1000000</f>
        <v>2.798</v>
      </c>
      <c r="N48" s="677">
        <f>'Scenario Costs Provincial'!O137/1000000</f>
        <v>2.971</v>
      </c>
      <c r="O48" s="678">
        <f>'Scenario Costs Provincial'!P137/1000000</f>
        <v>2.831</v>
      </c>
      <c r="P48" s="851"/>
      <c r="Q48" s="676">
        <f>'Scenario Costs Provincial'!R137/1000000</f>
        <v>2.912</v>
      </c>
      <c r="R48" s="677">
        <f>'Scenario Costs Provincial'!S137/1000000</f>
        <v>3.085</v>
      </c>
      <c r="S48" s="678">
        <f>'Scenario Costs Provincial'!T137/1000000</f>
        <v>2.945</v>
      </c>
      <c r="T48" s="22"/>
      <c r="U48" s="676">
        <f>'Scenario Costs Provincial'!V137/1000000</f>
        <v>3.016</v>
      </c>
      <c r="V48" s="677">
        <f>'Scenario Costs Provincial'!W137/1000000</f>
        <v>3.189</v>
      </c>
      <c r="W48" s="678">
        <f>'Scenario Costs Provincial'!X137/1000000</f>
        <v>3.049</v>
      </c>
      <c r="X48" s="851"/>
      <c r="Y48" s="676">
        <f>'Scenario Costs Provincial'!Z137/1000000</f>
        <v>2.981</v>
      </c>
      <c r="Z48" s="677">
        <f>'Scenario Costs Provincial'!AA137/1000000</f>
        <v>3.154</v>
      </c>
      <c r="AA48" s="678">
        <f>'Scenario Costs Provincial'!AB137/1000000</f>
        <v>3.014</v>
      </c>
      <c r="AB48" s="22"/>
      <c r="AC48" s="22"/>
      <c r="AD48" s="165"/>
      <c r="AE48" s="882"/>
      <c r="AF48" s="166"/>
      <c r="AG48" s="253"/>
    </row>
    <row r="49" spans="1:33" ht="15" customHeight="1" thickBot="1">
      <c r="A49" s="252"/>
      <c r="B49" s="22"/>
      <c r="C49" s="891"/>
      <c r="D49" s="163">
        <v>20</v>
      </c>
      <c r="E49" s="679">
        <f>'Scenario Costs Provincial'!E138/1000000</f>
        <v>4.465</v>
      </c>
      <c r="F49" s="680">
        <f>'Scenario Costs Provincial'!F138/1000000</f>
        <v>4.895</v>
      </c>
      <c r="G49" s="681">
        <f>'Scenario Costs Provincial'!G138/1000000</f>
        <v>4.701</v>
      </c>
      <c r="H49" s="22"/>
      <c r="I49" s="679">
        <f>'Scenario Costs Provincial'!I138/1000000</f>
        <v>4.272</v>
      </c>
      <c r="J49" s="680">
        <f>'Scenario Costs Provincial'!K138/1000000</f>
        <v>4.674</v>
      </c>
      <c r="K49" s="681">
        <f>'Scenario Costs Provincial'!L138/1000000</f>
        <v>4.493</v>
      </c>
      <c r="L49" s="22"/>
      <c r="M49" s="679">
        <f>'Scenario Costs Provincial'!N138/1000000</f>
        <v>4.072</v>
      </c>
      <c r="N49" s="680">
        <f>'Scenario Costs Provincial'!O138/1000000</f>
        <v>4.474</v>
      </c>
      <c r="O49" s="681">
        <f>'Scenario Costs Provincial'!P138/1000000</f>
        <v>4.293</v>
      </c>
      <c r="P49" s="851"/>
      <c r="Q49" s="679">
        <f>'Scenario Costs Provincial'!R138/1000000</f>
        <v>4.18</v>
      </c>
      <c r="R49" s="680">
        <f>'Scenario Costs Provincial'!S138/1000000</f>
        <v>4.582</v>
      </c>
      <c r="S49" s="681">
        <f>'Scenario Costs Provincial'!T138/1000000</f>
        <v>4.401</v>
      </c>
      <c r="T49" s="22"/>
      <c r="U49" s="679">
        <f>'Scenario Costs Provincial'!V138/1000000</f>
        <v>4.26</v>
      </c>
      <c r="V49" s="680">
        <f>'Scenario Costs Provincial'!W138/1000000</f>
        <v>4.662</v>
      </c>
      <c r="W49" s="681">
        <f>'Scenario Costs Provincial'!X138/1000000</f>
        <v>4.481</v>
      </c>
      <c r="X49" s="851"/>
      <c r="Y49" s="679">
        <f>'Scenario Costs Provincial'!Z138/1000000</f>
        <v>4.262</v>
      </c>
      <c r="Z49" s="680">
        <f>'Scenario Costs Provincial'!AA138/1000000</f>
        <v>4.664</v>
      </c>
      <c r="AA49" s="681">
        <f>'Scenario Costs Provincial'!AB138/1000000</f>
        <v>4.483</v>
      </c>
      <c r="AB49" s="22"/>
      <c r="AC49" s="22"/>
      <c r="AD49" s="200"/>
      <c r="AE49" s="883"/>
      <c r="AF49" s="201"/>
      <c r="AG49" s="253"/>
    </row>
    <row r="50" spans="1:33" ht="13.5" thickBot="1">
      <c r="A50" s="254"/>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66"/>
    </row>
    <row r="54" spans="5:6" ht="12.75">
      <c r="E54" s="176"/>
      <c r="F54" s="176"/>
    </row>
    <row r="55" spans="5:6" ht="12.75">
      <c r="E55" s="176"/>
      <c r="F55" s="176"/>
    </row>
    <row r="56" spans="5:6" ht="12.75">
      <c r="E56" s="176"/>
      <c r="F56" s="176"/>
    </row>
    <row r="57" spans="5:6" ht="12.75">
      <c r="E57" s="176"/>
      <c r="F57" s="176"/>
    </row>
    <row r="58" spans="5:6" ht="12.75">
      <c r="E58" s="176"/>
      <c r="F58" s="176"/>
    </row>
  </sheetData>
  <sheetProtection password="C7CA" sheet="1" objects="1" scenarios="1"/>
  <mergeCells count="96">
    <mergeCell ref="E13:F13"/>
    <mergeCell ref="U13:V13"/>
    <mergeCell ref="U25:V25"/>
    <mergeCell ref="U26:V26"/>
    <mergeCell ref="I14:J14"/>
    <mergeCell ref="M14:N14"/>
    <mergeCell ref="I18:J18"/>
    <mergeCell ref="M18:N18"/>
    <mergeCell ref="I17:J17"/>
    <mergeCell ref="M17:N17"/>
    <mergeCell ref="U16:V16"/>
    <mergeCell ref="U17:V17"/>
    <mergeCell ref="U22:V22"/>
    <mergeCell ref="U24:V24"/>
    <mergeCell ref="U11:W11"/>
    <mergeCell ref="U12:V12"/>
    <mergeCell ref="U14:V14"/>
    <mergeCell ref="U15:V15"/>
    <mergeCell ref="I15:J15"/>
    <mergeCell ref="M15:N15"/>
    <mergeCell ref="I16:J16"/>
    <mergeCell ref="M16:N16"/>
    <mergeCell ref="M26:N26"/>
    <mergeCell ref="E25:F25"/>
    <mergeCell ref="I25:J25"/>
    <mergeCell ref="M25:N25"/>
    <mergeCell ref="A34:D34"/>
    <mergeCell ref="E17:F17"/>
    <mergeCell ref="E26:F26"/>
    <mergeCell ref="I26:J26"/>
    <mergeCell ref="E24:F24"/>
    <mergeCell ref="I24:J24"/>
    <mergeCell ref="E30:F30"/>
    <mergeCell ref="I30:J30"/>
    <mergeCell ref="E31:F31"/>
    <mergeCell ref="M30:N30"/>
    <mergeCell ref="AE46:AE49"/>
    <mergeCell ref="AE37:AE40"/>
    <mergeCell ref="I42:K42"/>
    <mergeCell ref="I31:J31"/>
    <mergeCell ref="M31:N31"/>
    <mergeCell ref="U30:V30"/>
    <mergeCell ref="U31:V31"/>
    <mergeCell ref="Q30:R30"/>
    <mergeCell ref="Q31:R31"/>
    <mergeCell ref="B35:D35"/>
    <mergeCell ref="C37:C40"/>
    <mergeCell ref="C46:C49"/>
    <mergeCell ref="B44:D44"/>
    <mergeCell ref="A43:D43"/>
    <mergeCell ref="B1:AF1"/>
    <mergeCell ref="B3:AF3"/>
    <mergeCell ref="AD9:AF9"/>
    <mergeCell ref="M9:O9"/>
    <mergeCell ref="E9:G9"/>
    <mergeCell ref="I9:K9"/>
    <mergeCell ref="C7:H7"/>
    <mergeCell ref="U9:W9"/>
    <mergeCell ref="Q9:S9"/>
    <mergeCell ref="Y9:AA9"/>
    <mergeCell ref="M11:O11"/>
    <mergeCell ref="I12:J12"/>
    <mergeCell ref="M12:N12"/>
    <mergeCell ref="E11:G11"/>
    <mergeCell ref="I11:K11"/>
    <mergeCell ref="M24:N24"/>
    <mergeCell ref="E22:F22"/>
    <mergeCell ref="I22:J22"/>
    <mergeCell ref="I23:J23"/>
    <mergeCell ref="M22:N22"/>
    <mergeCell ref="M23:N23"/>
    <mergeCell ref="Q11:S11"/>
    <mergeCell ref="Q12:R12"/>
    <mergeCell ref="Q14:R14"/>
    <mergeCell ref="Q15:R15"/>
    <mergeCell ref="Q16:R16"/>
    <mergeCell ref="Q17:R17"/>
    <mergeCell ref="Q18:R18"/>
    <mergeCell ref="Q22:R22"/>
    <mergeCell ref="Q23:R23"/>
    <mergeCell ref="Q24:R24"/>
    <mergeCell ref="Q25:R25"/>
    <mergeCell ref="Q26:R26"/>
    <mergeCell ref="Y11:AA11"/>
    <mergeCell ref="Y12:Z12"/>
    <mergeCell ref="Y14:Z14"/>
    <mergeCell ref="Y13:AA13"/>
    <mergeCell ref="Y15:Z15"/>
    <mergeCell ref="Y16:Z16"/>
    <mergeCell ref="Y17:Z17"/>
    <mergeCell ref="Y22:Z22"/>
    <mergeCell ref="Y31:Z31"/>
    <mergeCell ref="Y24:Z24"/>
    <mergeCell ref="Y25:Z25"/>
    <mergeCell ref="Y26:Z26"/>
    <mergeCell ref="Y30:Z30"/>
  </mergeCells>
  <conditionalFormatting sqref="I5">
    <cfRule type="cellIs" priority="1" dxfId="0" operator="greaterThan" stopIfTrue="1">
      <formula>0</formula>
    </cfRule>
    <cfRule type="cellIs" priority="2" dxfId="1" operator="lessThan" stopIfTrue="1">
      <formula>0</formula>
    </cfRule>
  </conditionalFormatting>
  <conditionalFormatting sqref="Y46:AA46 U46:W46 Q46:S46 M46:O46 I46:K46 E46:G46">
    <cfRule type="cellIs" priority="3" dxfId="2" operator="lessThanOrEqual" stopIfTrue="1">
      <formula>MIN($E$46:$G$46,$I$46:$K$46,$M$46:$O$46,$Q$46:$S$46,$U$46:$W$46,$Y$46:$AA$46)</formula>
    </cfRule>
  </conditionalFormatting>
  <conditionalFormatting sqref="Y47:AA47 U47:W47 Q47:S47 M47:O47 I47:K47 E47:G47">
    <cfRule type="cellIs" priority="4" dxfId="2" operator="lessThanOrEqual" stopIfTrue="1">
      <formula>MIN($E$47:$G$47,$I$47:$K$47,$M$47:$O$47,$Q$47:$S$47,$U$47:$W$47,$Y$47:$AA$47)</formula>
    </cfRule>
  </conditionalFormatting>
  <conditionalFormatting sqref="Y48:AA48 U48:W48 Q48:S48 M48:O48 I48:K48 E48:G48">
    <cfRule type="cellIs" priority="5" dxfId="2" operator="lessThanOrEqual" stopIfTrue="1">
      <formula>MIN($E$48:$G$48,$I$48:$K$48,$M$48:$O$48,$Q$48:$S$48,$U$48:$W$48,$Y$48:$AA$48)</formula>
    </cfRule>
  </conditionalFormatting>
  <conditionalFormatting sqref="Y49:AA49 U49:W49 Q49:S49 M49:O49 I49:K49 E49:G49">
    <cfRule type="cellIs" priority="6" dxfId="2" operator="lessThanOrEqual" stopIfTrue="1">
      <formula>MIN($E$49:$G$49,$I$49:$K$49,$M$49:$O$49,$Q$49:$S$49,$U$49:$W$49,$Y$49:$AA$49)</formula>
    </cfRule>
  </conditionalFormatting>
  <conditionalFormatting sqref="Q37:S37 M37:O37 U37:W37 E37:G37 I37:K37 Y37:AA37">
    <cfRule type="cellIs" priority="7" dxfId="2" operator="lessThanOrEqual" stopIfTrue="1">
      <formula>MIN($E$37:$G$37,$I$37:$K$37,$M$37:$O$37,$Q$37:$S$37,$U$37:$W$37,$Y$37:$AA$37)</formula>
    </cfRule>
  </conditionalFormatting>
  <conditionalFormatting sqref="E38:G38 I38:K38 M38:O38 Q38:S38 U38:W38 Y38:AA38">
    <cfRule type="cellIs" priority="8" dxfId="2" operator="lessThanOrEqual" stopIfTrue="1">
      <formula>MIN($E$38:$G$38,$I$38:$K$38,$M$38:$O$38,$Q$38:$S$38,$U$38:$W$38,$Y$38:$AA$38)</formula>
    </cfRule>
  </conditionalFormatting>
  <conditionalFormatting sqref="E39:G39 I39:K39 M39:O39 Q39:S39 U39:W39 Y39:AA39">
    <cfRule type="cellIs" priority="9" dxfId="2" operator="lessThanOrEqual" stopIfTrue="1">
      <formula>MIN($E$39:$G$39,$I$39:$K$39,$M$39:$O$39,$Q$39:$S$39,$U$39:$W$39,$Y$39:$AA$39)</formula>
    </cfRule>
  </conditionalFormatting>
  <conditionalFormatting sqref="E40:G40 I40:K40 M40:O40 Q40:S40 U40:W40 Y40:AA40">
    <cfRule type="cellIs" priority="10" dxfId="2" operator="lessThanOrEqual" stopIfTrue="1">
      <formula>MIN($E$40:$G$40,$I$40:$K$40,$M$40:$O$40,$Q$40:$S$40,$U$40:$W$40,$Y$40:$AA$40)</formula>
    </cfRule>
  </conditionalFormatting>
  <printOptions/>
  <pageMargins left="0.5" right="0.3" top="0.74" bottom="0.43" header="0.26" footer="0.27"/>
  <pageSetup fitToHeight="1" fitToWidth="1" horizontalDpi="300" verticalDpi="300" orientation="landscape" paperSize="8" scale="44" r:id="rId2"/>
  <headerFooter alignWithMargins="0">
    <oddFooter>&amp;L&amp;"Arial,Bold"&amp;8&amp;F &amp;D &amp;T</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C192"/>
  <sheetViews>
    <sheetView zoomScale="75" zoomScaleNormal="75" workbookViewId="0" topLeftCell="A41">
      <selection activeCell="A1" sqref="A1:P1"/>
    </sheetView>
  </sheetViews>
  <sheetFormatPr defaultColWidth="9.140625" defaultRowHeight="12.75"/>
  <cols>
    <col min="1" max="1" width="5.7109375" style="0" customWidth="1"/>
    <col min="2" max="2" width="9.28125" style="0" customWidth="1"/>
    <col min="3" max="3" width="25.00390625" style="0" customWidth="1"/>
    <col min="4" max="4" width="19.28125" style="0" customWidth="1"/>
    <col min="5" max="5" width="14.7109375" style="0" customWidth="1"/>
    <col min="6" max="6" width="15.7109375" style="0" customWidth="1"/>
    <col min="7" max="7" width="16.421875" style="0" customWidth="1"/>
    <col min="8" max="8" width="9.57421875" style="0" customWidth="1"/>
    <col min="9" max="9" width="20.140625" style="0" customWidth="1"/>
    <col min="10" max="10" width="6.28125" style="0" customWidth="1"/>
    <col min="11" max="11" width="26.7109375" style="0" customWidth="1"/>
    <col min="12" max="12" width="20.00390625" style="0" customWidth="1"/>
    <col min="13" max="13" width="11.140625" style="0" customWidth="1"/>
    <col min="14" max="14" width="18.00390625" style="0" customWidth="1"/>
    <col min="15" max="15" width="19.28125" style="0" customWidth="1"/>
    <col min="16" max="16" width="20.28125" style="0" customWidth="1"/>
    <col min="17" max="17" width="12.7109375" style="0" customWidth="1"/>
    <col min="18" max="20" width="18.140625" style="0" customWidth="1"/>
    <col min="21" max="21" width="8.28125" style="0" customWidth="1"/>
    <col min="22" max="24" width="18.7109375" style="0" customWidth="1"/>
    <col min="25" max="25" width="7.28125" style="0" customWidth="1"/>
    <col min="26" max="28" width="18.7109375" style="0" customWidth="1"/>
    <col min="29" max="29" width="6.7109375" style="0" customWidth="1"/>
  </cols>
  <sheetData>
    <row r="1" spans="1:16" ht="37.5" customHeight="1">
      <c r="A1" s="897" t="s">
        <v>37</v>
      </c>
      <c r="B1" s="897"/>
      <c r="C1" s="897"/>
      <c r="D1" s="897"/>
      <c r="E1" s="897"/>
      <c r="F1" s="897"/>
      <c r="G1" s="897"/>
      <c r="H1" s="897"/>
      <c r="I1" s="897"/>
      <c r="J1" s="897"/>
      <c r="K1" s="897"/>
      <c r="L1" s="897"/>
      <c r="M1" s="897"/>
      <c r="N1" s="897"/>
      <c r="O1" s="897"/>
      <c r="P1" s="897"/>
    </row>
    <row r="2" spans="1:16" ht="26.25" customHeight="1">
      <c r="A2" s="979" t="s">
        <v>182</v>
      </c>
      <c r="B2" s="980"/>
      <c r="C2" s="980"/>
      <c r="D2" s="980"/>
      <c r="E2" s="980"/>
      <c r="F2" s="980"/>
      <c r="G2" s="980"/>
      <c r="H2" s="980"/>
      <c r="I2" s="980"/>
      <c r="J2" s="980"/>
      <c r="K2" s="980"/>
      <c r="L2" s="980"/>
      <c r="M2" s="980"/>
      <c r="N2" s="980"/>
      <c r="O2" s="980"/>
      <c r="P2" s="980"/>
    </row>
    <row r="3" spans="1:16" ht="26.25" customHeight="1" thickBot="1">
      <c r="A3" s="30"/>
      <c r="B3" s="30"/>
      <c r="C3" s="30"/>
      <c r="D3" s="30"/>
      <c r="E3" s="30"/>
      <c r="F3" s="30"/>
      <c r="G3" s="30"/>
      <c r="H3" s="30"/>
      <c r="I3" s="30"/>
      <c r="J3" s="30"/>
      <c r="K3" s="30"/>
      <c r="L3" s="30"/>
      <c r="M3" s="30"/>
      <c r="N3" s="30"/>
      <c r="O3" s="30"/>
      <c r="P3" s="30"/>
    </row>
    <row r="4" spans="1:23" ht="26.25" customHeight="1" thickTop="1">
      <c r="A4" s="30"/>
      <c r="B4" s="30"/>
      <c r="C4" s="30"/>
      <c r="D4" s="30"/>
      <c r="E4" s="30"/>
      <c r="F4" s="30"/>
      <c r="G4" s="30"/>
      <c r="H4" s="30"/>
      <c r="I4" s="30"/>
      <c r="J4" s="30"/>
      <c r="K4" s="981" t="s">
        <v>68</v>
      </c>
      <c r="L4" s="982"/>
      <c r="M4" s="982"/>
      <c r="N4" s="982"/>
      <c r="O4" s="982"/>
      <c r="P4" s="982"/>
      <c r="Q4" s="983"/>
      <c r="R4" s="207"/>
      <c r="S4" s="207"/>
      <c r="T4" s="207"/>
      <c r="U4" s="207"/>
      <c r="V4" s="33"/>
      <c r="W4" s="33"/>
    </row>
    <row r="5" spans="8:21" ht="26.25" customHeight="1" thickBot="1">
      <c r="H5" s="30"/>
      <c r="K5" s="73"/>
      <c r="L5" s="74"/>
      <c r="M5" s="74"/>
      <c r="N5" s="74"/>
      <c r="O5" s="984" t="s">
        <v>76</v>
      </c>
      <c r="P5" s="985"/>
      <c r="Q5" s="75"/>
      <c r="R5" s="823"/>
      <c r="S5" s="823"/>
      <c r="T5" s="823"/>
      <c r="U5" s="823"/>
    </row>
    <row r="6" spans="2:23" ht="51.75" customHeight="1" thickTop="1">
      <c r="B6" s="995" t="s">
        <v>51</v>
      </c>
      <c r="C6" s="996"/>
      <c r="D6" s="996"/>
      <c r="E6" s="997"/>
      <c r="F6" s="61" t="s">
        <v>40</v>
      </c>
      <c r="G6" s="62" t="s">
        <v>65</v>
      </c>
      <c r="K6" s="79" t="s">
        <v>69</v>
      </c>
      <c r="L6" s="76" t="s">
        <v>77</v>
      </c>
      <c r="M6" s="764" t="s">
        <v>579</v>
      </c>
      <c r="N6" s="76" t="s">
        <v>580</v>
      </c>
      <c r="O6" s="76" t="s">
        <v>75</v>
      </c>
      <c r="P6" s="76" t="s">
        <v>641</v>
      </c>
      <c r="Q6" s="80" t="s">
        <v>73</v>
      </c>
      <c r="R6" s="824"/>
      <c r="S6" s="824"/>
      <c r="T6" s="824"/>
      <c r="U6" s="824"/>
      <c r="W6" s="31"/>
    </row>
    <row r="7" spans="2:21" ht="12.75" customHeight="1">
      <c r="B7" s="998" t="s">
        <v>67</v>
      </c>
      <c r="C7" s="999"/>
      <c r="D7" s="999"/>
      <c r="E7" s="1000"/>
      <c r="F7" s="5" t="s">
        <v>48</v>
      </c>
      <c r="G7" s="63">
        <f>+'HCRW generation data'!E19*(1+D9)</f>
        <v>723730</v>
      </c>
      <c r="K7" s="81" t="s">
        <v>517</v>
      </c>
      <c r="L7" s="229">
        <v>0.7</v>
      </c>
      <c r="M7" s="71"/>
      <c r="N7" s="82">
        <v>9</v>
      </c>
      <c r="O7" s="72" t="s">
        <v>17</v>
      </c>
      <c r="P7" s="72" t="s">
        <v>17</v>
      </c>
      <c r="Q7" s="323">
        <v>11.5</v>
      </c>
      <c r="R7" s="825"/>
      <c r="S7" s="825"/>
      <c r="T7" s="825"/>
      <c r="U7" s="825"/>
    </row>
    <row r="8" spans="2:21" ht="12.75" customHeight="1">
      <c r="B8" s="64"/>
      <c r="C8" s="22"/>
      <c r="D8" s="22"/>
      <c r="E8" s="22"/>
      <c r="F8" s="5" t="s">
        <v>49</v>
      </c>
      <c r="G8" s="63">
        <f>+'HCRW generation data'!F19*(1+D9)</f>
        <v>29119.999999999996</v>
      </c>
      <c r="K8" s="81" t="s">
        <v>518</v>
      </c>
      <c r="L8" s="229">
        <v>0.35</v>
      </c>
      <c r="M8" s="71"/>
      <c r="N8" s="82">
        <v>8</v>
      </c>
      <c r="O8" s="72" t="s">
        <v>17</v>
      </c>
      <c r="P8" s="72" t="s">
        <v>17</v>
      </c>
      <c r="Q8" s="323">
        <v>6.2</v>
      </c>
      <c r="R8" s="825"/>
      <c r="S8" s="825"/>
      <c r="T8" s="825"/>
      <c r="U8" s="825"/>
    </row>
    <row r="9" spans="2:21" ht="13.5" customHeight="1">
      <c r="B9" s="64"/>
      <c r="C9" s="991" t="s">
        <v>241</v>
      </c>
      <c r="D9" s="990">
        <f>(E9-50)/100</f>
        <v>-0.3</v>
      </c>
      <c r="E9" s="322">
        <v>20</v>
      </c>
      <c r="F9" s="5" t="s">
        <v>50</v>
      </c>
      <c r="G9" s="63">
        <f>+'HCRW generation data'!G19*(1+D9)</f>
        <v>69650</v>
      </c>
      <c r="K9" s="81" t="s">
        <v>71</v>
      </c>
      <c r="L9" s="82"/>
      <c r="M9" s="71"/>
      <c r="N9" s="82">
        <v>2.4</v>
      </c>
      <c r="O9" s="82">
        <f>N$14/N9</f>
        <v>8.333333333333334</v>
      </c>
      <c r="P9" s="82">
        <f>N$15/N9</f>
        <v>33.333333333333336</v>
      </c>
      <c r="Q9" s="323">
        <v>0.82</v>
      </c>
      <c r="R9" s="825"/>
      <c r="S9" s="825"/>
      <c r="T9" s="825"/>
      <c r="U9" s="825"/>
    </row>
    <row r="10" spans="2:21" ht="12.75" customHeight="1">
      <c r="B10" s="64"/>
      <c r="C10" s="991"/>
      <c r="D10" s="990"/>
      <c r="E10" s="22"/>
      <c r="F10" s="5" t="s">
        <v>56</v>
      </c>
      <c r="G10" s="63">
        <f>SUM(G7:G9)</f>
        <v>822500</v>
      </c>
      <c r="K10" s="81" t="s">
        <v>72</v>
      </c>
      <c r="L10" s="82"/>
      <c r="M10" s="71"/>
      <c r="N10" s="82">
        <v>4.1</v>
      </c>
      <c r="O10" s="82">
        <f>N$14/N10</f>
        <v>4.878048780487806</v>
      </c>
      <c r="P10" s="82">
        <f>N$15/N10</f>
        <v>19.512195121951223</v>
      </c>
      <c r="Q10" s="323">
        <v>1.15</v>
      </c>
      <c r="R10" s="825"/>
      <c r="S10" s="825"/>
      <c r="T10" s="825"/>
      <c r="U10" s="825"/>
    </row>
    <row r="11" spans="2:21" ht="12.75" customHeight="1" thickBot="1">
      <c r="B11" s="65"/>
      <c r="C11" s="66"/>
      <c r="D11" s="66"/>
      <c r="E11" s="66"/>
      <c r="F11" s="67"/>
      <c r="G11" s="68"/>
      <c r="K11" s="81" t="s">
        <v>74</v>
      </c>
      <c r="L11" s="82"/>
      <c r="M11" s="71"/>
      <c r="N11" s="82">
        <v>10.4</v>
      </c>
      <c r="O11" s="82">
        <f>N$14/N11</f>
        <v>1.923076923076923</v>
      </c>
      <c r="P11" s="82">
        <f>N$15/N11</f>
        <v>7.692307692307692</v>
      </c>
      <c r="Q11" s="323">
        <v>26.22</v>
      </c>
      <c r="R11" s="825"/>
      <c r="S11" s="825"/>
      <c r="T11" s="825"/>
      <c r="U11" s="825"/>
    </row>
    <row r="12" spans="7:21" ht="12.75" customHeight="1" thickTop="1">
      <c r="G12" s="10"/>
      <c r="H12" s="30"/>
      <c r="K12" s="81" t="s">
        <v>563</v>
      </c>
      <c r="L12" s="82"/>
      <c r="M12" s="71"/>
      <c r="N12" s="82">
        <v>2.5</v>
      </c>
      <c r="O12" s="82">
        <f>N$14/N12</f>
        <v>8</v>
      </c>
      <c r="P12" s="82">
        <f>N$15/N12</f>
        <v>32</v>
      </c>
      <c r="Q12" s="323">
        <v>12</v>
      </c>
      <c r="R12" s="825"/>
      <c r="S12" s="825"/>
      <c r="T12" s="825"/>
      <c r="U12" s="825"/>
    </row>
    <row r="13" spans="7:21" ht="12.75" customHeight="1">
      <c r="G13" s="10"/>
      <c r="H13" s="30"/>
      <c r="K13" s="81" t="s">
        <v>81</v>
      </c>
      <c r="L13" s="82"/>
      <c r="M13" s="71"/>
      <c r="N13" s="82">
        <v>2.6</v>
      </c>
      <c r="O13" s="82"/>
      <c r="P13" s="82"/>
      <c r="Q13" s="323">
        <v>14.7</v>
      </c>
      <c r="R13" s="825"/>
      <c r="S13" s="825"/>
      <c r="T13" s="825"/>
      <c r="U13" s="825"/>
    </row>
    <row r="14" spans="7:21" ht="12.75" customHeight="1">
      <c r="G14" s="10"/>
      <c r="H14" s="30"/>
      <c r="K14" s="81" t="s">
        <v>210</v>
      </c>
      <c r="L14" s="82">
        <v>15</v>
      </c>
      <c r="M14" s="71"/>
      <c r="N14" s="233">
        <v>20</v>
      </c>
      <c r="O14" s="234"/>
      <c r="P14" s="72"/>
      <c r="Q14" s="323">
        <v>300</v>
      </c>
      <c r="R14" s="825"/>
      <c r="S14" s="825"/>
      <c r="T14" s="825"/>
      <c r="U14" s="825"/>
    </row>
    <row r="15" spans="7:21" ht="12.75" customHeight="1">
      <c r="G15" s="10"/>
      <c r="H15" s="30"/>
      <c r="K15" s="81" t="s">
        <v>639</v>
      </c>
      <c r="L15" s="82">
        <v>44</v>
      </c>
      <c r="M15" s="71"/>
      <c r="N15" s="233">
        <v>80</v>
      </c>
      <c r="O15" s="234"/>
      <c r="P15" s="72"/>
      <c r="Q15" s="323">
        <v>1825</v>
      </c>
      <c r="R15" s="825"/>
      <c r="S15" s="825"/>
      <c r="T15" s="825"/>
      <c r="U15" s="825"/>
    </row>
    <row r="16" spans="7:21" ht="12.75" customHeight="1">
      <c r="G16" s="10"/>
      <c r="H16" s="30"/>
      <c r="K16" s="81" t="s">
        <v>647</v>
      </c>
      <c r="L16" s="82">
        <v>45</v>
      </c>
      <c r="M16" s="71"/>
      <c r="N16" s="233">
        <v>68</v>
      </c>
      <c r="O16" s="234"/>
      <c r="P16" s="72"/>
      <c r="Q16" s="323">
        <v>2450</v>
      </c>
      <c r="R16" s="825"/>
      <c r="S16" s="825"/>
      <c r="T16" s="825"/>
      <c r="U16" s="825"/>
    </row>
    <row r="17" spans="7:21" ht="12.75" customHeight="1">
      <c r="G17" s="10"/>
      <c r="H17" s="30"/>
      <c r="K17" s="81" t="s">
        <v>562</v>
      </c>
      <c r="L17" s="82">
        <v>6.5</v>
      </c>
      <c r="M17" s="71"/>
      <c r="N17" s="233">
        <v>6.75</v>
      </c>
      <c r="O17" s="72" t="s">
        <v>17</v>
      </c>
      <c r="P17" s="72" t="s">
        <v>17</v>
      </c>
      <c r="Q17" s="323">
        <v>100</v>
      </c>
      <c r="R17" s="825"/>
      <c r="S17" s="825"/>
      <c r="T17" s="825"/>
      <c r="U17" s="825"/>
    </row>
    <row r="18" spans="7:21" ht="12.75" customHeight="1">
      <c r="G18" s="10"/>
      <c r="H18" s="30"/>
      <c r="K18" s="81" t="s">
        <v>516</v>
      </c>
      <c r="L18" s="82">
        <v>3.5</v>
      </c>
      <c r="M18" s="71"/>
      <c r="N18" s="233">
        <v>5</v>
      </c>
      <c r="O18" s="72" t="s">
        <v>17</v>
      </c>
      <c r="P18" s="72" t="s">
        <v>17</v>
      </c>
      <c r="Q18" s="323">
        <v>70</v>
      </c>
      <c r="R18" s="825"/>
      <c r="S18" s="825"/>
      <c r="T18" s="825"/>
      <c r="U18" s="825"/>
    </row>
    <row r="19" spans="7:21" ht="12.75" customHeight="1">
      <c r="G19" s="10"/>
      <c r="H19" s="30"/>
      <c r="K19" s="81" t="s">
        <v>564</v>
      </c>
      <c r="L19" s="82"/>
      <c r="M19" s="71"/>
      <c r="N19" s="233">
        <v>3.5</v>
      </c>
      <c r="O19" s="72" t="s">
        <v>17</v>
      </c>
      <c r="P19" s="72" t="s">
        <v>17</v>
      </c>
      <c r="Q19" s="323">
        <v>30</v>
      </c>
      <c r="R19" s="825"/>
      <c r="S19" s="825"/>
      <c r="T19" s="825"/>
      <c r="U19" s="825"/>
    </row>
    <row r="20" spans="7:21" ht="12.75" customHeight="1">
      <c r="G20" s="10"/>
      <c r="H20" s="30"/>
      <c r="I20" s="1001" t="s">
        <v>582</v>
      </c>
      <c r="J20" s="765" t="s">
        <v>34</v>
      </c>
      <c r="K20" s="81" t="s">
        <v>570</v>
      </c>
      <c r="L20" s="762" t="s">
        <v>569</v>
      </c>
      <c r="M20" s="82">
        <v>7</v>
      </c>
      <c r="N20" s="233"/>
      <c r="O20" s="72"/>
      <c r="P20" s="72"/>
      <c r="Q20" s="323">
        <v>0.39</v>
      </c>
      <c r="R20" s="825"/>
      <c r="S20" s="825"/>
      <c r="T20" s="825"/>
      <c r="U20" s="825"/>
    </row>
    <row r="21" spans="7:21" ht="27" customHeight="1">
      <c r="G21" s="10"/>
      <c r="H21" s="30"/>
      <c r="I21" s="1001"/>
      <c r="J21" s="765" t="s">
        <v>35</v>
      </c>
      <c r="K21" s="81" t="s">
        <v>571</v>
      </c>
      <c r="L21" s="763" t="s">
        <v>576</v>
      </c>
      <c r="M21" s="82">
        <v>5</v>
      </c>
      <c r="N21" s="233"/>
      <c r="O21" s="72"/>
      <c r="P21" s="72"/>
      <c r="Q21" s="323">
        <v>0.7</v>
      </c>
      <c r="R21" s="825"/>
      <c r="S21" s="825"/>
      <c r="T21" s="825"/>
      <c r="U21" s="825"/>
    </row>
    <row r="22" spans="7:21" ht="12.75" customHeight="1">
      <c r="G22" s="10"/>
      <c r="H22" s="30"/>
      <c r="I22" s="1001"/>
      <c r="J22" s="765" t="s">
        <v>36</v>
      </c>
      <c r="K22" s="81" t="s">
        <v>573</v>
      </c>
      <c r="L22" s="762" t="s">
        <v>572</v>
      </c>
      <c r="M22" s="82">
        <v>14</v>
      </c>
      <c r="N22" s="766" t="s">
        <v>599</v>
      </c>
      <c r="O22" s="72"/>
      <c r="P22" s="72"/>
      <c r="Q22" s="323">
        <v>1.12</v>
      </c>
      <c r="R22" s="825"/>
      <c r="S22" s="825"/>
      <c r="T22" s="825"/>
      <c r="U22" s="825"/>
    </row>
    <row r="23" spans="7:21" ht="12.75" customHeight="1">
      <c r="G23" s="10"/>
      <c r="H23" s="30"/>
      <c r="I23" s="1001"/>
      <c r="J23" s="765" t="s">
        <v>87</v>
      </c>
      <c r="K23" s="81" t="s">
        <v>577</v>
      </c>
      <c r="L23" s="762" t="s">
        <v>575</v>
      </c>
      <c r="M23" s="82">
        <v>5</v>
      </c>
      <c r="N23" s="233"/>
      <c r="O23" s="72"/>
      <c r="P23" s="72"/>
      <c r="Q23" s="323">
        <v>1.8</v>
      </c>
      <c r="R23" s="825"/>
      <c r="S23" s="825"/>
      <c r="T23" s="825"/>
      <c r="U23" s="825"/>
    </row>
    <row r="24" spans="7:21" ht="12.75" customHeight="1">
      <c r="G24" s="10"/>
      <c r="H24" s="30"/>
      <c r="I24" s="1001"/>
      <c r="J24" s="765" t="s">
        <v>88</v>
      </c>
      <c r="K24" s="81" t="s">
        <v>578</v>
      </c>
      <c r="L24" s="762" t="s">
        <v>574</v>
      </c>
      <c r="M24" s="82">
        <v>10</v>
      </c>
      <c r="N24" s="766" t="s">
        <v>599</v>
      </c>
      <c r="O24" s="72"/>
      <c r="P24" s="72"/>
      <c r="Q24" s="323">
        <v>1.5</v>
      </c>
      <c r="R24" s="825"/>
      <c r="S24" s="825"/>
      <c r="T24" s="825"/>
      <c r="U24" s="825"/>
    </row>
    <row r="25" spans="7:21" ht="12.75" customHeight="1">
      <c r="G25" s="10"/>
      <c r="H25" s="30"/>
      <c r="I25" s="1001"/>
      <c r="J25" s="765" t="s">
        <v>581</v>
      </c>
      <c r="K25" s="81" t="s">
        <v>616</v>
      </c>
      <c r="L25" s="82"/>
      <c r="M25" s="82">
        <v>20</v>
      </c>
      <c r="N25" s="766" t="s">
        <v>620</v>
      </c>
      <c r="O25" s="72"/>
      <c r="P25" s="72"/>
      <c r="Q25" s="323">
        <v>1.8</v>
      </c>
      <c r="R25" s="825"/>
      <c r="S25" s="825"/>
      <c r="T25" s="825"/>
      <c r="U25" s="825"/>
    </row>
    <row r="26" spans="7:21" ht="12.75" customHeight="1">
      <c r="G26" s="10"/>
      <c r="H26" s="30"/>
      <c r="K26" s="81"/>
      <c r="L26" s="332"/>
      <c r="M26" s="71"/>
      <c r="N26" s="332"/>
      <c r="O26" s="333"/>
      <c r="P26" s="334"/>
      <c r="Q26" s="335"/>
      <c r="R26" s="826"/>
      <c r="S26" s="826"/>
      <c r="T26" s="826"/>
      <c r="U26" s="826"/>
    </row>
    <row r="27" spans="7:21" ht="12.75" customHeight="1">
      <c r="G27" s="10"/>
      <c r="H27" s="30"/>
      <c r="K27" s="977" t="s">
        <v>245</v>
      </c>
      <c r="L27" s="978"/>
      <c r="M27" s="978"/>
      <c r="N27" s="978"/>
      <c r="O27" s="333"/>
      <c r="P27" s="334"/>
      <c r="Q27" s="323">
        <v>4.3</v>
      </c>
      <c r="R27" s="825"/>
      <c r="S27" s="825"/>
      <c r="T27" s="825"/>
      <c r="U27" s="825"/>
    </row>
    <row r="28" spans="7:21" ht="12.75" customHeight="1">
      <c r="G28" s="10"/>
      <c r="H28" s="30"/>
      <c r="K28" s="977" t="s">
        <v>601</v>
      </c>
      <c r="L28" s="978"/>
      <c r="M28" s="978"/>
      <c r="N28" s="978"/>
      <c r="O28" s="229">
        <v>1</v>
      </c>
      <c r="P28" s="336" t="s">
        <v>589</v>
      </c>
      <c r="Q28" s="337">
        <v>120</v>
      </c>
      <c r="R28" s="827"/>
      <c r="S28" s="827"/>
      <c r="T28" s="827"/>
      <c r="U28" s="827"/>
    </row>
    <row r="29" spans="7:21" ht="12.75" customHeight="1">
      <c r="G29" s="10"/>
      <c r="H29" s="30"/>
      <c r="K29" s="977" t="s">
        <v>602</v>
      </c>
      <c r="L29" s="978"/>
      <c r="M29" s="978"/>
      <c r="N29" s="978"/>
      <c r="O29" s="229">
        <v>1</v>
      </c>
      <c r="P29" s="336" t="s">
        <v>589</v>
      </c>
      <c r="Q29" s="339">
        <v>120</v>
      </c>
      <c r="R29" s="828"/>
      <c r="S29" s="828"/>
      <c r="T29" s="828"/>
      <c r="U29" s="828"/>
    </row>
    <row r="30" spans="7:21" ht="12.75" customHeight="1">
      <c r="G30" s="10"/>
      <c r="H30" s="30"/>
      <c r="I30" s="51"/>
      <c r="J30" s="51"/>
      <c r="K30" s="977" t="s">
        <v>603</v>
      </c>
      <c r="L30" s="978"/>
      <c r="M30" s="978"/>
      <c r="N30" s="978"/>
      <c r="O30" s="229">
        <v>0.5</v>
      </c>
      <c r="P30" s="336" t="s">
        <v>590</v>
      </c>
      <c r="Q30" s="339">
        <v>400</v>
      </c>
      <c r="R30" s="828"/>
      <c r="S30" s="828"/>
      <c r="T30" s="828"/>
      <c r="U30" s="828"/>
    </row>
    <row r="31" spans="7:21" ht="12.75" customHeight="1">
      <c r="G31" s="10"/>
      <c r="H31" s="30"/>
      <c r="I31" s="51"/>
      <c r="J31" s="51"/>
      <c r="K31" s="977" t="s">
        <v>596</v>
      </c>
      <c r="L31" s="978"/>
      <c r="M31" s="978"/>
      <c r="N31" s="978"/>
      <c r="O31" s="229">
        <v>0.12</v>
      </c>
      <c r="P31" s="336" t="s">
        <v>597</v>
      </c>
      <c r="Q31" s="339">
        <v>30</v>
      </c>
      <c r="R31" s="828"/>
      <c r="S31" s="828"/>
      <c r="T31" s="828"/>
      <c r="U31" s="828"/>
    </row>
    <row r="32" spans="7:21" ht="12.75" customHeight="1">
      <c r="G32" s="10"/>
      <c r="H32" s="30"/>
      <c r="I32" s="51"/>
      <c r="J32" s="51"/>
      <c r="K32" s="977" t="s">
        <v>598</v>
      </c>
      <c r="L32" s="978"/>
      <c r="M32" s="978"/>
      <c r="N32" s="978"/>
      <c r="O32" s="229">
        <v>0.12</v>
      </c>
      <c r="P32" s="336" t="s">
        <v>597</v>
      </c>
      <c r="Q32" s="339">
        <v>30</v>
      </c>
      <c r="R32" s="828"/>
      <c r="S32" s="828"/>
      <c r="T32" s="828"/>
      <c r="U32" s="828"/>
    </row>
    <row r="33" spans="7:21" ht="12.75" customHeight="1">
      <c r="G33" s="10"/>
      <c r="H33" s="30"/>
      <c r="I33" s="51"/>
      <c r="J33" s="51"/>
      <c r="K33" s="977" t="s">
        <v>663</v>
      </c>
      <c r="L33" s="978"/>
      <c r="M33" s="978"/>
      <c r="N33" s="978"/>
      <c r="O33" s="216">
        <v>12</v>
      </c>
      <c r="P33" s="338" t="s">
        <v>218</v>
      </c>
      <c r="Q33" s="339">
        <v>2000</v>
      </c>
      <c r="R33" s="828"/>
      <c r="S33" s="828"/>
      <c r="T33" s="828"/>
      <c r="U33" s="828"/>
    </row>
    <row r="34" spans="7:21" ht="12.75" customHeight="1">
      <c r="G34" s="10"/>
      <c r="H34" s="30"/>
      <c r="I34" s="51"/>
      <c r="J34" s="51"/>
      <c r="K34" s="977" t="s">
        <v>664</v>
      </c>
      <c r="L34" s="978"/>
      <c r="M34" s="978"/>
      <c r="N34" s="978"/>
      <c r="O34" s="216">
        <v>8</v>
      </c>
      <c r="P34" s="338" t="s">
        <v>566</v>
      </c>
      <c r="Q34" s="339">
        <v>2000</v>
      </c>
      <c r="R34" s="828"/>
      <c r="S34" s="828"/>
      <c r="T34" s="828"/>
      <c r="U34" s="828"/>
    </row>
    <row r="35" spans="7:21" ht="12.75" customHeight="1">
      <c r="G35" s="10"/>
      <c r="H35" s="30"/>
      <c r="I35" s="51"/>
      <c r="J35" s="51"/>
      <c r="K35" s="977" t="s">
        <v>665</v>
      </c>
      <c r="L35" s="978"/>
      <c r="M35" s="978"/>
      <c r="N35" s="978"/>
      <c r="O35" s="216">
        <v>16</v>
      </c>
      <c r="P35" s="338" t="s">
        <v>566</v>
      </c>
      <c r="Q35" s="339">
        <v>2000</v>
      </c>
      <c r="R35" s="828"/>
      <c r="S35" s="828"/>
      <c r="T35" s="828"/>
      <c r="U35" s="828"/>
    </row>
    <row r="36" spans="7:21" ht="12.75" customHeight="1">
      <c r="G36" s="10"/>
      <c r="H36" s="30"/>
      <c r="I36" s="51"/>
      <c r="J36" s="51"/>
      <c r="K36" s="1018" t="s">
        <v>539</v>
      </c>
      <c r="L36" s="1019"/>
      <c r="M36" s="1019"/>
      <c r="N36" s="1020"/>
      <c r="O36" s="216">
        <v>18</v>
      </c>
      <c r="P36" s="338" t="s">
        <v>537</v>
      </c>
      <c r="Q36" s="339">
        <v>250</v>
      </c>
      <c r="R36" s="828"/>
      <c r="S36" s="828"/>
      <c r="T36" s="828"/>
      <c r="U36" s="828"/>
    </row>
    <row r="37" spans="7:21" ht="12.75" customHeight="1">
      <c r="G37" s="10"/>
      <c r="H37" s="30"/>
      <c r="I37" s="51"/>
      <c r="J37" s="51"/>
      <c r="K37" s="1018" t="s">
        <v>538</v>
      </c>
      <c r="L37" s="1019"/>
      <c r="M37" s="1019"/>
      <c r="N37" s="1020"/>
      <c r="O37" s="216">
        <v>100</v>
      </c>
      <c r="P37" s="338" t="s">
        <v>537</v>
      </c>
      <c r="Q37" s="339">
        <v>3500</v>
      </c>
      <c r="R37" s="828"/>
      <c r="S37" s="828"/>
      <c r="T37" s="828"/>
      <c r="U37" s="828"/>
    </row>
    <row r="38" spans="7:21" ht="12.75" customHeight="1">
      <c r="G38" s="10"/>
      <c r="H38" s="30"/>
      <c r="I38" s="51"/>
      <c r="J38" s="51"/>
      <c r="K38" s="977" t="s">
        <v>529</v>
      </c>
      <c r="L38" s="978"/>
      <c r="M38" s="978"/>
      <c r="N38" s="978"/>
      <c r="O38" s="216">
        <v>20</v>
      </c>
      <c r="P38" s="338" t="s">
        <v>530</v>
      </c>
      <c r="Q38" s="339">
        <v>2500</v>
      </c>
      <c r="R38" s="828"/>
      <c r="S38" s="828"/>
      <c r="T38" s="828"/>
      <c r="U38" s="828"/>
    </row>
    <row r="39" spans="7:21" ht="12.75" customHeight="1">
      <c r="G39" s="10"/>
      <c r="H39" s="30"/>
      <c r="I39" s="51"/>
      <c r="J39" s="51"/>
      <c r="K39" s="977" t="s">
        <v>622</v>
      </c>
      <c r="L39" s="978"/>
      <c r="M39" s="978"/>
      <c r="N39" s="978"/>
      <c r="O39" s="216">
        <v>150</v>
      </c>
      <c r="P39" s="338" t="s">
        <v>155</v>
      </c>
      <c r="Q39" s="339">
        <v>3000</v>
      </c>
      <c r="R39" s="828"/>
      <c r="S39" s="828"/>
      <c r="T39" s="828"/>
      <c r="U39" s="828"/>
    </row>
    <row r="40" spans="7:21" ht="12.75" customHeight="1">
      <c r="G40" s="10"/>
      <c r="H40" s="30"/>
      <c r="I40" s="51"/>
      <c r="J40" s="51"/>
      <c r="K40" s="977" t="s">
        <v>680</v>
      </c>
      <c r="L40" s="978"/>
      <c r="M40" s="978"/>
      <c r="N40" s="978"/>
      <c r="O40" s="216">
        <v>85</v>
      </c>
      <c r="P40" s="338" t="s">
        <v>155</v>
      </c>
      <c r="Q40" s="339">
        <v>3000</v>
      </c>
      <c r="R40" s="828"/>
      <c r="S40" s="828"/>
      <c r="T40" s="828"/>
      <c r="U40" s="828"/>
    </row>
    <row r="41" spans="7:21" ht="12.75" customHeight="1">
      <c r="G41" s="10"/>
      <c r="H41" s="30"/>
      <c r="I41" s="51"/>
      <c r="J41" s="51"/>
      <c r="K41" s="977" t="s">
        <v>681</v>
      </c>
      <c r="L41" s="978"/>
      <c r="M41" s="978"/>
      <c r="N41" s="978"/>
      <c r="O41" s="760">
        <v>75</v>
      </c>
      <c r="P41" s="338" t="s">
        <v>155</v>
      </c>
      <c r="Q41" s="339">
        <v>3000</v>
      </c>
      <c r="R41" s="828"/>
      <c r="S41" s="828"/>
      <c r="T41" s="828"/>
      <c r="U41" s="828"/>
    </row>
    <row r="42" spans="7:21" ht="12.75" customHeight="1">
      <c r="G42" s="10"/>
      <c r="H42" s="30"/>
      <c r="I42" s="51"/>
      <c r="J42" s="51"/>
      <c r="K42" s="977" t="s">
        <v>565</v>
      </c>
      <c r="L42" s="978"/>
      <c r="M42" s="978"/>
      <c r="N42" s="978"/>
      <c r="O42" s="760">
        <v>100</v>
      </c>
      <c r="P42" s="338" t="s">
        <v>155</v>
      </c>
      <c r="Q42" s="339">
        <v>3000</v>
      </c>
      <c r="R42" s="828"/>
      <c r="S42" s="828"/>
      <c r="T42" s="828"/>
      <c r="U42" s="828"/>
    </row>
    <row r="43" spans="7:21" ht="12.75" customHeight="1">
      <c r="G43" s="10"/>
      <c r="H43" s="30"/>
      <c r="I43" s="51"/>
      <c r="J43" s="51"/>
      <c r="K43" s="977" t="s">
        <v>654</v>
      </c>
      <c r="L43" s="978"/>
      <c r="M43" s="978"/>
      <c r="N43" s="978"/>
      <c r="O43" s="760">
        <v>150</v>
      </c>
      <c r="P43" s="338" t="s">
        <v>155</v>
      </c>
      <c r="Q43" s="339">
        <v>3000</v>
      </c>
      <c r="R43" s="828"/>
      <c r="S43" s="828"/>
      <c r="T43" s="828"/>
      <c r="U43" s="828"/>
    </row>
    <row r="44" spans="7:21" ht="12.75" customHeight="1">
      <c r="G44" s="10"/>
      <c r="H44" s="30"/>
      <c r="I44" s="51"/>
      <c r="J44" s="51"/>
      <c r="K44" s="977" t="s">
        <v>655</v>
      </c>
      <c r="L44" s="978"/>
      <c r="M44" s="978"/>
      <c r="N44" s="978"/>
      <c r="O44" s="760">
        <v>165</v>
      </c>
      <c r="P44" s="338" t="s">
        <v>155</v>
      </c>
      <c r="Q44" s="339">
        <v>3000</v>
      </c>
      <c r="R44" s="828"/>
      <c r="S44" s="828"/>
      <c r="T44" s="828"/>
      <c r="U44" s="828"/>
    </row>
    <row r="45" spans="7:21" ht="25.5" customHeight="1">
      <c r="G45" s="10"/>
      <c r="H45" s="30"/>
      <c r="I45" s="51"/>
      <c r="J45" s="51"/>
      <c r="K45" s="1016" t="s">
        <v>250</v>
      </c>
      <c r="L45" s="1017"/>
      <c r="M45" s="1017"/>
      <c r="N45" s="1017"/>
      <c r="O45" s="985"/>
      <c r="P45" s="545">
        <v>12</v>
      </c>
      <c r="Q45" s="340">
        <f>+P45/100</f>
        <v>0.12</v>
      </c>
      <c r="R45" s="829"/>
      <c r="S45" s="829"/>
      <c r="T45" s="829"/>
      <c r="U45" s="829"/>
    </row>
    <row r="46" spans="7:21" ht="12.75" customHeight="1" thickBot="1">
      <c r="G46" s="10"/>
      <c r="H46" s="30"/>
      <c r="I46" s="51"/>
      <c r="J46" s="51"/>
      <c r="K46" s="57"/>
      <c r="L46" s="58"/>
      <c r="M46" s="58"/>
      <c r="N46" s="58"/>
      <c r="O46" s="58"/>
      <c r="P46" s="59"/>
      <c r="Q46" s="60"/>
      <c r="R46" s="70"/>
      <c r="S46" s="70"/>
      <c r="T46" s="70"/>
      <c r="U46" s="70"/>
    </row>
    <row r="47" spans="7:21" ht="12.75" customHeight="1" thickTop="1">
      <c r="G47" s="10"/>
      <c r="H47" s="30"/>
      <c r="I47" s="51"/>
      <c r="J47" s="51"/>
      <c r="K47" s="56"/>
      <c r="L47" s="55"/>
      <c r="M47" s="55"/>
      <c r="N47" s="55"/>
      <c r="O47" s="55"/>
      <c r="P47" s="56"/>
      <c r="Q47" s="70"/>
      <c r="R47" s="70"/>
      <c r="S47" s="70"/>
      <c r="T47" s="70"/>
      <c r="U47" s="70"/>
    </row>
    <row r="48" ht="12.75" customHeight="1"/>
    <row r="49" spans="5:28" ht="21" customHeight="1">
      <c r="E49" s="952" t="s">
        <v>2</v>
      </c>
      <c r="F49" s="953"/>
      <c r="G49" s="953"/>
      <c r="H49" s="2"/>
      <c r="I49" s="952" t="s">
        <v>3</v>
      </c>
      <c r="J49" s="952"/>
      <c r="K49" s="953"/>
      <c r="L49" s="953"/>
      <c r="M49" s="2"/>
      <c r="N49" s="952" t="s">
        <v>4</v>
      </c>
      <c r="O49" s="953"/>
      <c r="P49" s="953"/>
      <c r="R49" s="952" t="s">
        <v>648</v>
      </c>
      <c r="S49" s="953"/>
      <c r="T49" s="953"/>
      <c r="V49" s="952" t="s">
        <v>521</v>
      </c>
      <c r="W49" s="953"/>
      <c r="X49" s="953"/>
      <c r="Z49" s="952" t="s">
        <v>659</v>
      </c>
      <c r="AA49" s="953"/>
      <c r="AB49" s="953"/>
    </row>
    <row r="50" spans="8:13" ht="12.75">
      <c r="H50" s="22"/>
      <c r="M50" s="22"/>
    </row>
    <row r="51" spans="5:28" ht="39" customHeight="1">
      <c r="E51" s="954" t="s">
        <v>683</v>
      </c>
      <c r="F51" s="955"/>
      <c r="G51" s="955"/>
      <c r="H51" s="22"/>
      <c r="I51" s="1014" t="s">
        <v>519</v>
      </c>
      <c r="J51" s="1014"/>
      <c r="K51" s="1014"/>
      <c r="L51" s="1014"/>
      <c r="M51" s="22"/>
      <c r="N51" s="1014" t="s">
        <v>640</v>
      </c>
      <c r="O51" s="1015"/>
      <c r="P51" s="1015"/>
      <c r="R51" s="1014" t="s">
        <v>649</v>
      </c>
      <c r="S51" s="1015"/>
      <c r="T51" s="1015"/>
      <c r="V51" s="954" t="s">
        <v>660</v>
      </c>
      <c r="W51" s="955"/>
      <c r="X51" s="955"/>
      <c r="Z51" s="954" t="s">
        <v>520</v>
      </c>
      <c r="AA51" s="955"/>
      <c r="AB51" s="955"/>
    </row>
    <row r="52" spans="8:13" ht="12.75">
      <c r="H52" s="22"/>
      <c r="M52" s="22"/>
    </row>
    <row r="53" spans="1:28" ht="28.5" customHeight="1">
      <c r="A53" s="32" t="s">
        <v>47</v>
      </c>
      <c r="E53" s="7" t="s">
        <v>40</v>
      </c>
      <c r="F53" s="7" t="s">
        <v>41</v>
      </c>
      <c r="G53" s="7" t="s">
        <v>42</v>
      </c>
      <c r="H53" s="18"/>
      <c r="I53" s="7" t="s">
        <v>40</v>
      </c>
      <c r="J53" s="84" t="s">
        <v>80</v>
      </c>
      <c r="K53" s="7" t="s">
        <v>41</v>
      </c>
      <c r="L53" s="7" t="s">
        <v>42</v>
      </c>
      <c r="M53" s="18"/>
      <c r="N53" s="7" t="s">
        <v>40</v>
      </c>
      <c r="O53" s="7" t="s">
        <v>41</v>
      </c>
      <c r="P53" s="7" t="s">
        <v>42</v>
      </c>
      <c r="R53" s="7" t="s">
        <v>40</v>
      </c>
      <c r="S53" s="7" t="s">
        <v>41</v>
      </c>
      <c r="T53" s="7" t="s">
        <v>42</v>
      </c>
      <c r="V53" s="7" t="s">
        <v>40</v>
      </c>
      <c r="W53" s="7" t="s">
        <v>41</v>
      </c>
      <c r="X53" s="7" t="s">
        <v>42</v>
      </c>
      <c r="Z53" s="7" t="s">
        <v>40</v>
      </c>
      <c r="AA53" s="7" t="s">
        <v>41</v>
      </c>
      <c r="AB53" s="7" t="s">
        <v>42</v>
      </c>
    </row>
    <row r="54" spans="1:28" ht="15.75">
      <c r="A54" s="28"/>
      <c r="C54" s="23" t="s">
        <v>48</v>
      </c>
      <c r="D54" s="24"/>
      <c r="E54" s="5" t="s">
        <v>43</v>
      </c>
      <c r="F54" s="8">
        <f>+G54/30</f>
        <v>2680</v>
      </c>
      <c r="G54" s="8">
        <f>ROUND(+G7/N7,-2)</f>
        <v>80400</v>
      </c>
      <c r="H54" s="18"/>
      <c r="I54" s="5" t="s">
        <v>583</v>
      </c>
      <c r="J54" s="83"/>
      <c r="K54" s="8">
        <f>+L54/30</f>
        <v>3433.3333333333335</v>
      </c>
      <c r="L54" s="8">
        <f>ROUND($G$7/$M$20,-3)</f>
        <v>103000</v>
      </c>
      <c r="M54" s="18"/>
      <c r="N54" s="5" t="s">
        <v>583</v>
      </c>
      <c r="O54" s="8">
        <f>+P54/30</f>
        <v>3433.3333333333335</v>
      </c>
      <c r="P54" s="8">
        <f>ROUND(G$7/$M$20,-3)</f>
        <v>103000</v>
      </c>
      <c r="R54" s="5" t="s">
        <v>583</v>
      </c>
      <c r="S54" s="8">
        <f>+T54/30</f>
        <v>3433.3333333333335</v>
      </c>
      <c r="T54" s="8">
        <f>ROUND(G$7/$M$20,-3)</f>
        <v>103000</v>
      </c>
      <c r="V54" s="5" t="s">
        <v>583</v>
      </c>
      <c r="W54" s="8">
        <f aca="true" t="shared" si="0" ref="W54:W59">+X54/30</f>
        <v>3433.3333333333335</v>
      </c>
      <c r="X54" s="8">
        <f>ROUND($G$7/$M$20,-3)</f>
        <v>103000</v>
      </c>
      <c r="Z54" s="5" t="s">
        <v>583</v>
      </c>
      <c r="AA54" s="8">
        <f aca="true" t="shared" si="1" ref="AA54:AA59">+AB54/30</f>
        <v>3433.3333333333335</v>
      </c>
      <c r="AB54" s="8">
        <f>ROUND($G$7/$M$20,-3)</f>
        <v>103000</v>
      </c>
    </row>
    <row r="55" spans="1:28" ht="12.75" customHeight="1">
      <c r="A55" s="28"/>
      <c r="C55" s="992"/>
      <c r="D55" s="993"/>
      <c r="E55" s="5" t="s">
        <v>584</v>
      </c>
      <c r="F55" s="8">
        <f>G55/30</f>
        <v>4833.333333333333</v>
      </c>
      <c r="G55" s="8">
        <f>L55</f>
        <v>145000</v>
      </c>
      <c r="H55" s="18"/>
      <c r="I55" s="5" t="s">
        <v>584</v>
      </c>
      <c r="J55" s="83"/>
      <c r="K55" s="8">
        <f>+L55/30</f>
        <v>4833.333333333333</v>
      </c>
      <c r="L55" s="8">
        <f>ROUND($G$7/$M$21,-3)</f>
        <v>145000</v>
      </c>
      <c r="M55" s="18"/>
      <c r="N55" s="5" t="s">
        <v>584</v>
      </c>
      <c r="O55" s="8">
        <f>+P55/30</f>
        <v>4833.333333333333</v>
      </c>
      <c r="P55" s="8">
        <f>ROUND(G$7/$M$21,-3)</f>
        <v>145000</v>
      </c>
      <c r="R55" s="5" t="s">
        <v>584</v>
      </c>
      <c r="S55" s="8">
        <f>+T55/30</f>
        <v>4833.333333333333</v>
      </c>
      <c r="T55" s="8">
        <f>ROUND(G$7/$M$21,-3)</f>
        <v>145000</v>
      </c>
      <c r="V55" s="5" t="s">
        <v>584</v>
      </c>
      <c r="W55" s="8">
        <f t="shared" si="0"/>
        <v>4833.333333333333</v>
      </c>
      <c r="X55" s="8">
        <f>ROUND($G$7/$M$21,-3)</f>
        <v>145000</v>
      </c>
      <c r="Z55" s="5" t="s">
        <v>584</v>
      </c>
      <c r="AA55" s="8">
        <f t="shared" si="1"/>
        <v>4833.333333333333</v>
      </c>
      <c r="AB55" s="8">
        <f>ROUND($G$7/$M$21,-3)</f>
        <v>145000</v>
      </c>
    </row>
    <row r="56" spans="1:28" ht="12.75" customHeight="1">
      <c r="A56" s="28"/>
      <c r="C56" s="761"/>
      <c r="D56" s="181"/>
      <c r="E56" s="5"/>
      <c r="F56" s="8"/>
      <c r="G56" s="8"/>
      <c r="H56" s="18"/>
      <c r="I56" s="5" t="s">
        <v>585</v>
      </c>
      <c r="J56" s="83"/>
      <c r="K56" s="8">
        <f>+L56/30</f>
        <v>4833.333333333333</v>
      </c>
      <c r="L56" s="8">
        <f>ROUND($G$7/$M$23,-3)</f>
        <v>145000</v>
      </c>
      <c r="M56" s="18"/>
      <c r="N56" s="5" t="s">
        <v>585</v>
      </c>
      <c r="O56" s="8">
        <f>+P56/30</f>
        <v>4833.333333333333</v>
      </c>
      <c r="P56" s="8">
        <f>ROUND(G$7/$M$23,-3)</f>
        <v>145000</v>
      </c>
      <c r="R56" s="5" t="s">
        <v>585</v>
      </c>
      <c r="S56" s="8">
        <f>+T56/30</f>
        <v>4833.333333333333</v>
      </c>
      <c r="T56" s="8">
        <f>ROUND(G$7/$M$23,-3)</f>
        <v>145000</v>
      </c>
      <c r="V56" s="5" t="s">
        <v>586</v>
      </c>
      <c r="W56" s="8">
        <f t="shared" si="0"/>
        <v>1500</v>
      </c>
      <c r="X56" s="8">
        <f>ROUND($X$59*1.05,-3)</f>
        <v>45000</v>
      </c>
      <c r="Z56" s="5" t="s">
        <v>586</v>
      </c>
      <c r="AA56" s="8">
        <f t="shared" si="1"/>
        <v>1500</v>
      </c>
      <c r="AB56" s="8">
        <f>ROUND($X$59*1.05,-3)</f>
        <v>45000</v>
      </c>
    </row>
    <row r="57" spans="1:28" ht="12.75" customHeight="1">
      <c r="A57" s="28"/>
      <c r="C57" s="761"/>
      <c r="D57" s="181"/>
      <c r="E57" s="5"/>
      <c r="F57" s="8"/>
      <c r="G57" s="8"/>
      <c r="H57" s="18"/>
      <c r="I57" s="5" t="s">
        <v>588</v>
      </c>
      <c r="J57" s="83"/>
      <c r="K57" s="8">
        <f>K65</f>
        <v>1373.3333333333333</v>
      </c>
      <c r="L57" s="8">
        <f>L65</f>
        <v>41200</v>
      </c>
      <c r="M57" s="18"/>
      <c r="N57" s="5"/>
      <c r="O57" s="8"/>
      <c r="P57" s="8"/>
      <c r="R57" s="5"/>
      <c r="S57" s="8"/>
      <c r="T57" s="8"/>
      <c r="V57" s="5" t="s">
        <v>587</v>
      </c>
      <c r="W57" s="8">
        <f t="shared" si="0"/>
        <v>2633.3333333333335</v>
      </c>
      <c r="X57" s="8">
        <f>ROUND($X$58*1.05,-3)</f>
        <v>79000</v>
      </c>
      <c r="Z57" s="5" t="s">
        <v>587</v>
      </c>
      <c r="AA57" s="8">
        <f t="shared" si="1"/>
        <v>2633.3333333333335</v>
      </c>
      <c r="AB57" s="8">
        <f>ROUND($X$58*1.05,-3)</f>
        <v>79000</v>
      </c>
    </row>
    <row r="58" spans="1:28" ht="12.75" customHeight="1">
      <c r="A58" s="28"/>
      <c r="C58" s="761"/>
      <c r="D58" s="181"/>
      <c r="E58" s="5"/>
      <c r="F58" s="8"/>
      <c r="G58" s="8"/>
      <c r="H58" s="18"/>
      <c r="I58" s="5"/>
      <c r="J58" s="83"/>
      <c r="K58" s="8"/>
      <c r="L58" s="8"/>
      <c r="M58" s="18"/>
      <c r="N58" s="5"/>
      <c r="O58" s="8"/>
      <c r="P58" s="8"/>
      <c r="R58" s="5"/>
      <c r="S58" s="8"/>
      <c r="T58" s="8"/>
      <c r="V58" s="5" t="s">
        <v>567</v>
      </c>
      <c r="W58" s="8">
        <f t="shared" si="0"/>
        <v>2500</v>
      </c>
      <c r="X58" s="8">
        <f>ROUND($G$7*0.7/$N$17,-3)</f>
        <v>75000</v>
      </c>
      <c r="Z58" s="5" t="s">
        <v>567</v>
      </c>
      <c r="AA58" s="8">
        <f t="shared" si="1"/>
        <v>2500</v>
      </c>
      <c r="AB58" s="8">
        <f>ROUND($G$7*0.7/$N$17,-3)</f>
        <v>75000</v>
      </c>
    </row>
    <row r="59" spans="1:28" ht="12.75" customHeight="1">
      <c r="A59" s="28"/>
      <c r="C59" s="761"/>
      <c r="D59" s="181"/>
      <c r="E59" s="5"/>
      <c r="F59" s="8"/>
      <c r="G59" s="8"/>
      <c r="H59" s="18"/>
      <c r="I59" s="5"/>
      <c r="J59" s="83"/>
      <c r="K59" s="8"/>
      <c r="L59" s="8"/>
      <c r="M59" s="18"/>
      <c r="N59" s="5"/>
      <c r="O59" s="8"/>
      <c r="P59" s="8"/>
      <c r="R59" s="5"/>
      <c r="S59" s="8"/>
      <c r="T59" s="8"/>
      <c r="V59" s="5" t="s">
        <v>70</v>
      </c>
      <c r="W59" s="8">
        <f t="shared" si="0"/>
        <v>1433.3333333333333</v>
      </c>
      <c r="X59" s="8">
        <f>ROUND($G$7*0.3/$N$18,-3)</f>
        <v>43000</v>
      </c>
      <c r="Z59" s="5" t="s">
        <v>70</v>
      </c>
      <c r="AA59" s="8">
        <f t="shared" si="1"/>
        <v>1433.3333333333333</v>
      </c>
      <c r="AB59" s="8">
        <f>ROUND($G$7*0.3/$N$18,-3)</f>
        <v>43000</v>
      </c>
    </row>
    <row r="60" spans="1:28" ht="12.75" customHeight="1">
      <c r="A60" s="28"/>
      <c r="C60" s="761"/>
      <c r="D60" s="181"/>
      <c r="E60" s="5"/>
      <c r="F60" s="8"/>
      <c r="G60" s="8"/>
      <c r="H60" s="18"/>
      <c r="I60" s="5"/>
      <c r="J60" s="83"/>
      <c r="K60" s="8"/>
      <c r="L60" s="8"/>
      <c r="M60" s="18"/>
      <c r="N60" s="5"/>
      <c r="O60" s="8"/>
      <c r="P60" s="8"/>
      <c r="R60" s="5"/>
      <c r="S60" s="8"/>
      <c r="T60" s="8"/>
      <c r="V60" s="5"/>
      <c r="W60" s="8"/>
      <c r="X60" s="8"/>
      <c r="Z60" s="5"/>
      <c r="AA60" s="8"/>
      <c r="AB60" s="8"/>
    </row>
    <row r="61" spans="3:28" ht="12.75" customHeight="1">
      <c r="C61" s="960" t="s">
        <v>79</v>
      </c>
      <c r="D61" s="961"/>
      <c r="E61" s="5" t="s">
        <v>44</v>
      </c>
      <c r="F61" s="8">
        <f>+G61/30</f>
        <v>120</v>
      </c>
      <c r="G61" s="8">
        <f>ROUND(+G8/N8,-2)</f>
        <v>3600</v>
      </c>
      <c r="H61" s="18"/>
      <c r="I61" s="5" t="s">
        <v>45</v>
      </c>
      <c r="J61" s="12"/>
      <c r="K61" s="8">
        <f>+L61/30</f>
        <v>93.33333333333333</v>
      </c>
      <c r="L61" s="8">
        <f>ROUND(+$G$8/$N$11,-2)</f>
        <v>2800</v>
      </c>
      <c r="M61" s="18"/>
      <c r="N61" s="5" t="s">
        <v>45</v>
      </c>
      <c r="O61" s="8">
        <f>+P61/30</f>
        <v>93.33333333333333</v>
      </c>
      <c r="P61" s="8">
        <f>ROUND(+$G$8/$N$11,-2)</f>
        <v>2800</v>
      </c>
      <c r="R61" s="5" t="s">
        <v>45</v>
      </c>
      <c r="S61" s="8">
        <f>+T61/30</f>
        <v>93.33333333333333</v>
      </c>
      <c r="T61" s="8">
        <f>ROUND(+$G$8/$N$11,-2)</f>
        <v>2800</v>
      </c>
      <c r="V61" s="5" t="s">
        <v>45</v>
      </c>
      <c r="W61" s="8">
        <f>+X61/30</f>
        <v>93.33333333333333</v>
      </c>
      <c r="X61" s="8">
        <f>ROUND(+$G$8/$N$11,-2)</f>
        <v>2800</v>
      </c>
      <c r="Z61" s="5" t="s">
        <v>45</v>
      </c>
      <c r="AA61" s="8">
        <f>+AB61/30</f>
        <v>93.33333333333333</v>
      </c>
      <c r="AB61" s="8">
        <f>ROUND(+$G$8/$N$11,-2)</f>
        <v>2800</v>
      </c>
    </row>
    <row r="62" spans="3:28" ht="12.75" customHeight="1">
      <c r="C62" s="741"/>
      <c r="D62" s="742"/>
      <c r="E62" s="5"/>
      <c r="F62" s="8"/>
      <c r="G62" s="8"/>
      <c r="H62" s="18"/>
      <c r="I62" s="5"/>
      <c r="J62" s="12"/>
      <c r="K62" s="8"/>
      <c r="L62" s="8"/>
      <c r="M62" s="18"/>
      <c r="N62" s="5"/>
      <c r="O62" s="8"/>
      <c r="P62" s="8"/>
      <c r="R62" s="5"/>
      <c r="S62" s="8"/>
      <c r="T62" s="8"/>
      <c r="V62" s="5"/>
      <c r="W62" s="8"/>
      <c r="X62" s="8"/>
      <c r="Z62" s="5"/>
      <c r="AA62" s="8"/>
      <c r="AB62" s="8"/>
    </row>
    <row r="63" spans="3:28" ht="12.75" customHeight="1">
      <c r="C63" s="23" t="s">
        <v>50</v>
      </c>
      <c r="D63" s="24"/>
      <c r="E63" s="5" t="s">
        <v>563</v>
      </c>
      <c r="F63" s="8">
        <f>+G63/30</f>
        <v>930</v>
      </c>
      <c r="G63" s="8">
        <f>ROUND(+G9/N12,-2)</f>
        <v>27900</v>
      </c>
      <c r="H63" s="18"/>
      <c r="I63" s="5" t="s">
        <v>563</v>
      </c>
      <c r="J63" s="12"/>
      <c r="K63" s="8">
        <f>+L63/30</f>
        <v>930</v>
      </c>
      <c r="L63" s="8">
        <f>ROUND(+G9/N12,-2)</f>
        <v>27900</v>
      </c>
      <c r="M63" s="18"/>
      <c r="N63" s="5" t="s">
        <v>563</v>
      </c>
      <c r="O63" s="8">
        <f>+P63/30</f>
        <v>930</v>
      </c>
      <c r="P63" s="8">
        <f>ROUND(+G9/N12,-2)</f>
        <v>27900</v>
      </c>
      <c r="R63" s="5" t="s">
        <v>563</v>
      </c>
      <c r="S63" s="8">
        <f>+T63/30</f>
        <v>930</v>
      </c>
      <c r="T63" s="8">
        <f>ROUND(+G9/N12,-2)</f>
        <v>27900</v>
      </c>
      <c r="V63" s="5" t="s">
        <v>563</v>
      </c>
      <c r="W63" s="8">
        <f>+X63/30</f>
        <v>930</v>
      </c>
      <c r="X63" s="8">
        <f>ROUND($G$9/$N$12,-2)</f>
        <v>27900</v>
      </c>
      <c r="Z63" s="5" t="s">
        <v>563</v>
      </c>
      <c r="AA63" s="8">
        <f>+AB63/30</f>
        <v>930</v>
      </c>
      <c r="AB63" s="8">
        <f>ROUND($G$9/$N$12,-2)</f>
        <v>27900</v>
      </c>
    </row>
    <row r="64" spans="6:13" ht="12.75">
      <c r="F64" s="9"/>
      <c r="G64" s="9"/>
      <c r="H64" s="22"/>
      <c r="J64" s="52"/>
      <c r="M64" s="22"/>
    </row>
    <row r="65" spans="6:20" ht="12.75">
      <c r="F65" s="9"/>
      <c r="G65" s="9"/>
      <c r="I65" s="148" t="s">
        <v>46</v>
      </c>
      <c r="J65" s="149"/>
      <c r="K65" s="150">
        <f>+L65/30</f>
        <v>1373.3333333333333</v>
      </c>
      <c r="L65" s="150">
        <f>ROUNDUP(G10/N14,-2)</f>
        <v>41200</v>
      </c>
      <c r="M65" s="151"/>
      <c r="N65" s="148" t="s">
        <v>644</v>
      </c>
      <c r="O65" s="150">
        <f>+P65/30</f>
        <v>343.3333333333333</v>
      </c>
      <c r="P65" s="150">
        <f>ROUNDUP(G10/N15,-2)</f>
        <v>10300</v>
      </c>
      <c r="R65" s="148" t="s">
        <v>650</v>
      </c>
      <c r="S65" s="150">
        <f>+T65/30</f>
        <v>403.3333333333333</v>
      </c>
      <c r="T65" s="150">
        <f>ROUNDUP(G10/N16,-2)</f>
        <v>12100</v>
      </c>
    </row>
    <row r="66" spans="6:21" ht="12.75">
      <c r="F66" s="9"/>
      <c r="G66" s="9"/>
      <c r="I66" s="148"/>
      <c r="K66" s="235" t="s">
        <v>228</v>
      </c>
      <c r="L66" s="9">
        <f>+L14+G10/L65</f>
        <v>34.963592233009706</v>
      </c>
      <c r="M66" t="s">
        <v>211</v>
      </c>
      <c r="N66" s="235"/>
      <c r="O66" s="235" t="s">
        <v>228</v>
      </c>
      <c r="P66" s="9">
        <f>+L15+G10/P65</f>
        <v>123.85436893203884</v>
      </c>
      <c r="Q66" t="s">
        <v>211</v>
      </c>
      <c r="R66" s="235"/>
      <c r="S66" s="235" t="s">
        <v>228</v>
      </c>
      <c r="T66" s="9">
        <f>+L16+G10/T65</f>
        <v>112.97520661157024</v>
      </c>
      <c r="U66" t="s">
        <v>211</v>
      </c>
    </row>
    <row r="67" spans="6:21" ht="12.75">
      <c r="F67" s="9"/>
      <c r="G67" s="9"/>
      <c r="K67" s="508" t="s">
        <v>541</v>
      </c>
      <c r="L67" s="746">
        <f>(G10/L65)/240</f>
        <v>0.08318163430420712</v>
      </c>
      <c r="M67" t="s">
        <v>540</v>
      </c>
      <c r="O67" s="508" t="s">
        <v>541</v>
      </c>
      <c r="P67" s="746">
        <f>(G10/P65)/770</f>
        <v>0.10370697263901148</v>
      </c>
      <c r="Q67" t="s">
        <v>540</v>
      </c>
      <c r="S67" s="508" t="s">
        <v>541</v>
      </c>
      <c r="T67" s="746">
        <f>(G10/T65)/660</f>
        <v>0.10299273729025794</v>
      </c>
      <c r="U67" t="s">
        <v>540</v>
      </c>
    </row>
    <row r="68" spans="1:2" ht="19.5" customHeight="1">
      <c r="A68" s="32" t="s">
        <v>38</v>
      </c>
      <c r="B68" s="1"/>
    </row>
    <row r="69" spans="1:28" ht="18" customHeight="1">
      <c r="A69" s="1"/>
      <c r="B69" s="1"/>
      <c r="C69" s="22"/>
      <c r="D69" s="114"/>
      <c r="E69" s="4" t="s">
        <v>18</v>
      </c>
      <c r="F69" s="4" t="s">
        <v>19</v>
      </c>
      <c r="G69" s="4" t="s">
        <v>20</v>
      </c>
      <c r="H69" s="69"/>
      <c r="I69" s="4" t="s">
        <v>18</v>
      </c>
      <c r="J69" s="69"/>
      <c r="K69" s="4" t="s">
        <v>19</v>
      </c>
      <c r="L69" s="4" t="s">
        <v>20</v>
      </c>
      <c r="M69" s="69"/>
      <c r="N69" s="4" t="s">
        <v>18</v>
      </c>
      <c r="O69" s="4" t="s">
        <v>19</v>
      </c>
      <c r="P69" s="4" t="s">
        <v>20</v>
      </c>
      <c r="R69" s="4" t="s">
        <v>18</v>
      </c>
      <c r="S69" s="4" t="s">
        <v>19</v>
      </c>
      <c r="T69" s="4" t="s">
        <v>20</v>
      </c>
      <c r="V69" s="4" t="s">
        <v>18</v>
      </c>
      <c r="W69" s="4" t="s">
        <v>19</v>
      </c>
      <c r="X69" s="4" t="s">
        <v>20</v>
      </c>
      <c r="Z69" s="4" t="s">
        <v>18</v>
      </c>
      <c r="AA69" s="4" t="s">
        <v>19</v>
      </c>
      <c r="AB69" s="4" t="s">
        <v>20</v>
      </c>
    </row>
    <row r="70" spans="1:28" ht="18" customHeight="1">
      <c r="A70" s="1"/>
      <c r="B70" s="17" t="s">
        <v>5</v>
      </c>
      <c r="C70" s="198"/>
      <c r="D70" s="54"/>
      <c r="E70" s="5"/>
      <c r="F70" s="5"/>
      <c r="G70" s="5"/>
      <c r="H70" s="18"/>
      <c r="I70" s="5"/>
      <c r="J70" s="1012"/>
      <c r="K70" s="5"/>
      <c r="L70" s="5"/>
      <c r="M70" s="18"/>
      <c r="N70" s="5"/>
      <c r="O70" s="5"/>
      <c r="P70" s="5"/>
      <c r="R70" s="5"/>
      <c r="S70" s="5"/>
      <c r="T70" s="5"/>
      <c r="V70" s="5"/>
      <c r="W70" s="5"/>
      <c r="X70" s="5"/>
      <c r="Z70" s="5"/>
      <c r="AA70" s="5"/>
      <c r="AB70" s="5"/>
    </row>
    <row r="71" spans="1:28" ht="15.75" customHeight="1">
      <c r="A71" s="1"/>
      <c r="B71" s="11"/>
      <c r="C71" s="960" t="s">
        <v>591</v>
      </c>
      <c r="D71" s="961"/>
      <c r="E71" s="8">
        <f>ROUNDUP(+F55/$O$28,-2)</f>
        <v>4900</v>
      </c>
      <c r="F71" s="13">
        <f>$Q$28</f>
        <v>120</v>
      </c>
      <c r="G71" s="14">
        <f>E71*F71</f>
        <v>588000</v>
      </c>
      <c r="H71" s="18"/>
      <c r="I71" s="8">
        <f>ROUNDUP(+K55/$O$28,-2)</f>
        <v>4900</v>
      </c>
      <c r="J71" s="1012"/>
      <c r="K71" s="13">
        <f>$Q$28</f>
        <v>120</v>
      </c>
      <c r="L71" s="14">
        <f>+I71*K71</f>
        <v>588000</v>
      </c>
      <c r="M71" s="18"/>
      <c r="N71" s="8">
        <f>ROUNDUP(+O55/$O$28,-2)</f>
        <v>4900</v>
      </c>
      <c r="O71" s="13">
        <f>$Q$28</f>
        <v>120</v>
      </c>
      <c r="P71" s="14">
        <f>+N71*O71</f>
        <v>588000</v>
      </c>
      <c r="R71" s="8">
        <f>ROUNDUP(+S55/$O$28,-2)</f>
        <v>4900</v>
      </c>
      <c r="S71" s="13">
        <f>$Q$28</f>
        <v>120</v>
      </c>
      <c r="T71" s="14">
        <f>+R71*S71</f>
        <v>588000</v>
      </c>
      <c r="V71" s="8">
        <f>ROUNDUP(+W55/$O$28,-2)</f>
        <v>4900</v>
      </c>
      <c r="W71" s="13">
        <f>$Q$28</f>
        <v>120</v>
      </c>
      <c r="X71" s="14">
        <f>+V71*W71</f>
        <v>588000</v>
      </c>
      <c r="Z71" s="8">
        <f>ROUNDUP(+AA55/$O$28,-2)</f>
        <v>4900</v>
      </c>
      <c r="AA71" s="13">
        <f>$Q$28</f>
        <v>120</v>
      </c>
      <c r="AB71" s="14">
        <f>+Z71*AA71</f>
        <v>588000</v>
      </c>
    </row>
    <row r="72" spans="1:28" ht="15.75" customHeight="1">
      <c r="A72" s="1"/>
      <c r="B72" s="26"/>
      <c r="C72" s="741" t="s">
        <v>592</v>
      </c>
      <c r="D72" s="742"/>
      <c r="E72" s="8">
        <f>ROUNDUP(F63/$O$31,-2)</f>
        <v>7800</v>
      </c>
      <c r="F72" s="13">
        <f>$Q$31</f>
        <v>30</v>
      </c>
      <c r="G72" s="14">
        <f>E72*F72</f>
        <v>234000</v>
      </c>
      <c r="H72" s="18"/>
      <c r="I72" s="8">
        <f>ROUNDUP(K63/$O$31,-2)</f>
        <v>7800</v>
      </c>
      <c r="J72" s="1012"/>
      <c r="K72" s="13">
        <f>$Q$31</f>
        <v>30</v>
      </c>
      <c r="L72" s="14">
        <f>+I72*K72</f>
        <v>234000</v>
      </c>
      <c r="M72" s="18"/>
      <c r="N72" s="8">
        <f>ROUNDUP(O63/$O$31,-2)</f>
        <v>7800</v>
      </c>
      <c r="O72" s="13">
        <f>$Q$31</f>
        <v>30</v>
      </c>
      <c r="P72" s="14">
        <f>+N72*O72</f>
        <v>234000</v>
      </c>
      <c r="R72" s="8">
        <f>ROUNDUP(S63/$O$31,-2)</f>
        <v>7800</v>
      </c>
      <c r="S72" s="13">
        <f>$Q$31</f>
        <v>30</v>
      </c>
      <c r="T72" s="14">
        <f>+R72*S72</f>
        <v>234000</v>
      </c>
      <c r="V72" s="8">
        <f>ROUNDUP(W63/$O$31,-2)</f>
        <v>7800</v>
      </c>
      <c r="W72" s="13">
        <f>$Q$31</f>
        <v>30</v>
      </c>
      <c r="X72" s="14">
        <f>+V72*W72</f>
        <v>234000</v>
      </c>
      <c r="Z72" s="8">
        <f>ROUNDUP(AA63/$O$31,-2)</f>
        <v>7800</v>
      </c>
      <c r="AA72" s="13">
        <f>$Q$31</f>
        <v>30</v>
      </c>
      <c r="AB72" s="14">
        <f>+Z72*AA72</f>
        <v>234000</v>
      </c>
    </row>
    <row r="73" spans="1:28" ht="15.75" customHeight="1">
      <c r="A73" s="1"/>
      <c r="B73" s="26"/>
      <c r="C73" s="741" t="s">
        <v>593</v>
      </c>
      <c r="D73" s="742"/>
      <c r="E73" s="8">
        <f>ROUNDUP(F55/$O$29,-2)</f>
        <v>4900</v>
      </c>
      <c r="F73" s="13">
        <f>$Q$29</f>
        <v>120</v>
      </c>
      <c r="G73" s="14">
        <f>E73*F73</f>
        <v>588000</v>
      </c>
      <c r="H73" s="18"/>
      <c r="I73" s="8">
        <f>ROUNDUP(K55/$O$29,-2)</f>
        <v>4900</v>
      </c>
      <c r="J73" s="1012"/>
      <c r="K73" s="13">
        <f>$Q$29</f>
        <v>120</v>
      </c>
      <c r="L73" s="14">
        <f>+I73*K73</f>
        <v>588000</v>
      </c>
      <c r="M73" s="18"/>
      <c r="N73" s="8">
        <f>ROUNDUP(O55/$O$29,-2)</f>
        <v>4900</v>
      </c>
      <c r="O73" s="13">
        <f>$Q$29</f>
        <v>120</v>
      </c>
      <c r="P73" s="14">
        <f>+N73*O73</f>
        <v>588000</v>
      </c>
      <c r="R73" s="8">
        <f>ROUNDUP(S55/$O$29,-2)</f>
        <v>4900</v>
      </c>
      <c r="S73" s="13">
        <f>$Q$29</f>
        <v>120</v>
      </c>
      <c r="T73" s="14">
        <f>+R73*S73</f>
        <v>588000</v>
      </c>
      <c r="V73" s="8">
        <f>ROUNDUP(W55/$O$29,-2)</f>
        <v>4900</v>
      </c>
      <c r="W73" s="13">
        <f>$Q$29</f>
        <v>120</v>
      </c>
      <c r="X73" s="14">
        <f>+V73*W73</f>
        <v>588000</v>
      </c>
      <c r="Z73" s="8">
        <f>ROUNDUP(AA55/$O$29,-2)</f>
        <v>4900</v>
      </c>
      <c r="AA73" s="13">
        <f>$Q$29</f>
        <v>120</v>
      </c>
      <c r="AB73" s="14">
        <f>+Z73*AA73</f>
        <v>588000</v>
      </c>
    </row>
    <row r="74" spans="1:28" ht="15.75" customHeight="1">
      <c r="A74" s="1"/>
      <c r="B74" s="26"/>
      <c r="C74" s="741" t="s">
        <v>594</v>
      </c>
      <c r="D74" s="742"/>
      <c r="E74" s="8">
        <f>ROUNDUP(F63/$O$32,-2)</f>
        <v>7800</v>
      </c>
      <c r="F74" s="13">
        <f>$Q$32</f>
        <v>30</v>
      </c>
      <c r="G74" s="14">
        <f>E74*F74</f>
        <v>234000</v>
      </c>
      <c r="H74" s="18"/>
      <c r="I74" s="8">
        <f>ROUNDUP(K63/$O$32,-2)</f>
        <v>7800</v>
      </c>
      <c r="J74" s="1012"/>
      <c r="K74" s="13">
        <f>$Q$32</f>
        <v>30</v>
      </c>
      <c r="L74" s="14">
        <f>+I74*K74</f>
        <v>234000</v>
      </c>
      <c r="M74" s="18"/>
      <c r="N74" s="8">
        <f>ROUNDUP(O63/$O$32,-2)</f>
        <v>7800</v>
      </c>
      <c r="O74" s="13">
        <f>$Q$32</f>
        <v>30</v>
      </c>
      <c r="P74" s="14">
        <f>+N74*O74</f>
        <v>234000</v>
      </c>
      <c r="R74" s="8">
        <f>ROUNDUP(S63/$O$32,-2)</f>
        <v>7800</v>
      </c>
      <c r="S74" s="13">
        <f>$Q$32</f>
        <v>30</v>
      </c>
      <c r="T74" s="14">
        <f>+R74*S74</f>
        <v>234000</v>
      </c>
      <c r="V74" s="8">
        <f>ROUNDUP(W63/$O$32,-2)</f>
        <v>7800</v>
      </c>
      <c r="W74" s="13">
        <f>$Q$32</f>
        <v>30</v>
      </c>
      <c r="X74" s="14">
        <f>+V74*W74</f>
        <v>234000</v>
      </c>
      <c r="Z74" s="8">
        <f>ROUNDUP(AA63/$O$32,-2)</f>
        <v>7800</v>
      </c>
      <c r="AA74" s="13">
        <f>$Q$32</f>
        <v>30</v>
      </c>
      <c r="AB74" s="14">
        <f>+Z74*AA74</f>
        <v>234000</v>
      </c>
    </row>
    <row r="75" spans="2:28" ht="12.75">
      <c r="B75" s="23"/>
      <c r="C75" s="23" t="s">
        <v>595</v>
      </c>
      <c r="D75" s="24"/>
      <c r="E75" s="12" t="s">
        <v>17</v>
      </c>
      <c r="F75" s="13"/>
      <c r="G75" s="12" t="s">
        <v>17</v>
      </c>
      <c r="H75" s="19"/>
      <c r="I75" s="8">
        <f>ROUNDUP(K56/$O$30,-2)</f>
        <v>9700</v>
      </c>
      <c r="J75" s="1012"/>
      <c r="K75" s="14">
        <f>+Q30</f>
        <v>400</v>
      </c>
      <c r="L75" s="14">
        <f>+I75*K75</f>
        <v>3880000</v>
      </c>
      <c r="M75" s="20"/>
      <c r="N75" s="8">
        <f>ROUNDUP(+O56/$O$30,-2)</f>
        <v>9700</v>
      </c>
      <c r="O75" s="14">
        <f>+$Q$30</f>
        <v>400</v>
      </c>
      <c r="P75" s="14">
        <f>+N75*O75</f>
        <v>3880000</v>
      </c>
      <c r="R75" s="8">
        <f>ROUNDUP(+S56/$O$30,-2)</f>
        <v>9700</v>
      </c>
      <c r="S75" s="14">
        <f>+$Q$30</f>
        <v>400</v>
      </c>
      <c r="T75" s="14">
        <f>+R75*S75</f>
        <v>3880000</v>
      </c>
      <c r="V75" s="12" t="s">
        <v>17</v>
      </c>
      <c r="W75" s="13"/>
      <c r="X75" s="12" t="s">
        <v>17</v>
      </c>
      <c r="Z75" s="12" t="s">
        <v>17</v>
      </c>
      <c r="AA75" s="13"/>
      <c r="AB75" s="12" t="s">
        <v>17</v>
      </c>
    </row>
    <row r="76" spans="2:28" ht="12.75">
      <c r="B76" s="23"/>
      <c r="C76" s="23" t="s">
        <v>8</v>
      </c>
      <c r="D76" s="371"/>
      <c r="E76" s="853" t="s">
        <v>661</v>
      </c>
      <c r="F76" s="14">
        <f>+Q33</f>
        <v>2000</v>
      </c>
      <c r="G76" s="921" t="s">
        <v>661</v>
      </c>
      <c r="H76" s="20"/>
      <c r="I76" s="12" t="s">
        <v>17</v>
      </c>
      <c r="J76" s="1012"/>
      <c r="K76" s="14"/>
      <c r="L76" s="12" t="s">
        <v>17</v>
      </c>
      <c r="M76" s="20"/>
      <c r="N76" s="12" t="s">
        <v>17</v>
      </c>
      <c r="O76" s="14"/>
      <c r="P76" s="12" t="s">
        <v>17</v>
      </c>
      <c r="R76" s="12" t="s">
        <v>17</v>
      </c>
      <c r="S76" s="14"/>
      <c r="T76" s="12" t="s">
        <v>17</v>
      </c>
      <c r="V76" s="853" t="s">
        <v>661</v>
      </c>
      <c r="W76" s="14">
        <f>+$Q$33</f>
        <v>2000</v>
      </c>
      <c r="X76" s="853" t="s">
        <v>661</v>
      </c>
      <c r="Z76" s="8">
        <f>ROUNDUP((AA58+AA59/2)/$O$35,-1)</f>
        <v>210</v>
      </c>
      <c r="AA76" s="14">
        <f>+$Q$33</f>
        <v>2000</v>
      </c>
      <c r="AB76" s="14">
        <f>+Z76*AA76</f>
        <v>420000</v>
      </c>
    </row>
    <row r="77" spans="2:28" ht="12.75">
      <c r="B77" s="23"/>
      <c r="C77" s="23" t="s">
        <v>528</v>
      </c>
      <c r="D77" s="371"/>
      <c r="E77" s="12" t="s">
        <v>17</v>
      </c>
      <c r="F77" s="13"/>
      <c r="G77" s="12" t="s">
        <v>17</v>
      </c>
      <c r="H77" s="20"/>
      <c r="I77" s="8">
        <f>K65/O38</f>
        <v>68.66666666666666</v>
      </c>
      <c r="J77" s="1012"/>
      <c r="K77" s="14">
        <f>Q38</f>
        <v>2500</v>
      </c>
      <c r="L77" s="14">
        <f>+I77*K77</f>
        <v>171666.66666666666</v>
      </c>
      <c r="M77" s="20"/>
      <c r="N77" s="12" t="s">
        <v>17</v>
      </c>
      <c r="O77" s="13"/>
      <c r="P77" s="12" t="s">
        <v>17</v>
      </c>
      <c r="R77" s="12" t="s">
        <v>17</v>
      </c>
      <c r="S77" s="13"/>
      <c r="T77" s="12" t="s">
        <v>17</v>
      </c>
      <c r="V77" s="12" t="s">
        <v>17</v>
      </c>
      <c r="W77" s="13"/>
      <c r="X77" s="12" t="s">
        <v>17</v>
      </c>
      <c r="Z77" s="12" t="s">
        <v>17</v>
      </c>
      <c r="AA77" s="13"/>
      <c r="AB77" s="12" t="s">
        <v>17</v>
      </c>
    </row>
    <row r="78" spans="2:28" ht="25.5" customHeight="1">
      <c r="B78" s="23"/>
      <c r="C78" s="23"/>
      <c r="D78" s="772" t="s">
        <v>600</v>
      </c>
      <c r="E78" s="181"/>
      <c r="F78" s="13"/>
      <c r="G78" s="12"/>
      <c r="H78" s="20"/>
      <c r="I78" s="8"/>
      <c r="J78" s="1012"/>
      <c r="K78" s="14"/>
      <c r="L78" s="14"/>
      <c r="M78" s="20"/>
      <c r="N78" s="12"/>
      <c r="O78" s="13"/>
      <c r="P78" s="12"/>
      <c r="R78" s="12"/>
      <c r="S78" s="13"/>
      <c r="T78" s="12"/>
      <c r="V78" s="12"/>
      <c r="W78" s="13"/>
      <c r="X78" s="12"/>
      <c r="Z78" s="12"/>
      <c r="AA78" s="13"/>
      <c r="AB78" s="12"/>
    </row>
    <row r="79" spans="2:28" ht="46.5" customHeight="1">
      <c r="B79" s="23"/>
      <c r="C79" s="768" t="s">
        <v>9</v>
      </c>
      <c r="D79" s="736">
        <v>10</v>
      </c>
      <c r="E79" s="769" t="s">
        <v>17</v>
      </c>
      <c r="F79" s="770"/>
      <c r="G79" s="771" t="s">
        <v>17</v>
      </c>
      <c r="H79" s="19"/>
      <c r="I79" s="347">
        <f>+K65*D79</f>
        <v>13733.333333333332</v>
      </c>
      <c r="J79" s="1012"/>
      <c r="K79" s="276">
        <f>+Q14</f>
        <v>300</v>
      </c>
      <c r="L79" s="276">
        <f>ROUND(+I79*K79,-3)</f>
        <v>4120000</v>
      </c>
      <c r="M79" s="20"/>
      <c r="N79" s="771" t="s">
        <v>17</v>
      </c>
      <c r="O79" s="14"/>
      <c r="P79" s="771" t="s">
        <v>17</v>
      </c>
      <c r="R79" s="771" t="s">
        <v>17</v>
      </c>
      <c r="S79" s="14"/>
      <c r="T79" s="771" t="s">
        <v>17</v>
      </c>
      <c r="V79" s="771" t="s">
        <v>17</v>
      </c>
      <c r="W79" s="13"/>
      <c r="X79" s="771" t="s">
        <v>17</v>
      </c>
      <c r="Z79" s="771" t="s">
        <v>17</v>
      </c>
      <c r="AA79" s="13"/>
      <c r="AB79" s="771" t="s">
        <v>17</v>
      </c>
    </row>
    <row r="80" spans="2:28" ht="46.5" customHeight="1">
      <c r="B80" s="23"/>
      <c r="C80" s="768" t="s">
        <v>651</v>
      </c>
      <c r="D80" s="736">
        <v>8</v>
      </c>
      <c r="E80" s="769" t="s">
        <v>17</v>
      </c>
      <c r="F80" s="770"/>
      <c r="G80" s="771" t="s">
        <v>17</v>
      </c>
      <c r="H80" s="19"/>
      <c r="I80" s="771" t="s">
        <v>17</v>
      </c>
      <c r="J80" s="1012"/>
      <c r="K80" s="14"/>
      <c r="L80" s="771" t="s">
        <v>17</v>
      </c>
      <c r="M80" s="19"/>
      <c r="N80" s="347">
        <f>+O65*$D$80</f>
        <v>2746.6666666666665</v>
      </c>
      <c r="O80" s="276">
        <f>+$Q$15</f>
        <v>1825</v>
      </c>
      <c r="P80" s="276">
        <f>ROUND(+N80*O80,-3)</f>
        <v>5013000</v>
      </c>
      <c r="R80" s="347">
        <f>+S65*$D$80</f>
        <v>3226.6666666666665</v>
      </c>
      <c r="S80" s="276">
        <f>+$Q$16</f>
        <v>2450</v>
      </c>
      <c r="T80" s="276">
        <f>ROUND(+R80*S80,-3)</f>
        <v>7905000</v>
      </c>
      <c r="V80" s="771" t="s">
        <v>17</v>
      </c>
      <c r="W80" s="13"/>
      <c r="X80" s="771" t="s">
        <v>17</v>
      </c>
      <c r="Z80" s="771" t="s">
        <v>17</v>
      </c>
      <c r="AA80" s="13"/>
      <c r="AB80" s="771" t="s">
        <v>17</v>
      </c>
    </row>
    <row r="81" spans="2:28" ht="24" customHeight="1">
      <c r="B81" s="23"/>
      <c r="C81" s="23" t="s">
        <v>568</v>
      </c>
      <c r="D81" s="988">
        <v>8</v>
      </c>
      <c r="E81" s="181" t="s">
        <v>17</v>
      </c>
      <c r="F81" s="13"/>
      <c r="G81" s="12" t="s">
        <v>17</v>
      </c>
      <c r="H81" s="19"/>
      <c r="I81" s="12" t="s">
        <v>17</v>
      </c>
      <c r="J81" s="1012"/>
      <c r="K81" s="14"/>
      <c r="L81" s="12" t="s">
        <v>17</v>
      </c>
      <c r="M81" s="19"/>
      <c r="N81" s="12" t="s">
        <v>17</v>
      </c>
      <c r="O81" s="13"/>
      <c r="P81" s="12" t="s">
        <v>17</v>
      </c>
      <c r="R81" s="12" t="s">
        <v>17</v>
      </c>
      <c r="S81" s="13"/>
      <c r="T81" s="12" t="s">
        <v>17</v>
      </c>
      <c r="V81" s="745">
        <f>ROUND(W58*$D$81,-2)</f>
        <v>20000</v>
      </c>
      <c r="W81" s="13">
        <f>$Q$17</f>
        <v>100</v>
      </c>
      <c r="X81" s="14">
        <f>+V81*W81</f>
        <v>2000000</v>
      </c>
      <c r="Z81" s="745">
        <f>ROUND(AA58*$D$81,-2)</f>
        <v>20000</v>
      </c>
      <c r="AA81" s="13">
        <f>$Q$17</f>
        <v>100</v>
      </c>
      <c r="AB81" s="14">
        <f>+Z81*AA81</f>
        <v>2000000</v>
      </c>
    </row>
    <row r="82" spans="2:28" ht="24" customHeight="1">
      <c r="B82" s="23"/>
      <c r="C82" s="23" t="s">
        <v>522</v>
      </c>
      <c r="D82" s="989"/>
      <c r="E82" s="181" t="s">
        <v>17</v>
      </c>
      <c r="F82" s="13"/>
      <c r="G82" s="12" t="s">
        <v>17</v>
      </c>
      <c r="H82" s="19"/>
      <c r="I82" s="12" t="s">
        <v>17</v>
      </c>
      <c r="J82" s="1012"/>
      <c r="K82" s="14"/>
      <c r="L82" s="12" t="s">
        <v>17</v>
      </c>
      <c r="M82" s="19"/>
      <c r="N82" s="12" t="s">
        <v>17</v>
      </c>
      <c r="O82" s="13"/>
      <c r="P82" s="12" t="s">
        <v>17</v>
      </c>
      <c r="R82" s="12" t="s">
        <v>17</v>
      </c>
      <c r="S82" s="13"/>
      <c r="T82" s="12" t="s">
        <v>17</v>
      </c>
      <c r="V82" s="745">
        <f>ROUND(W59*$D$81,-1)</f>
        <v>11470</v>
      </c>
      <c r="W82" s="13">
        <f>$Q$18</f>
        <v>70</v>
      </c>
      <c r="X82" s="14">
        <f>+V82*W82</f>
        <v>802900</v>
      </c>
      <c r="Z82" s="745">
        <f>ROUND(AA59*$D$81,-1)</f>
        <v>11470</v>
      </c>
      <c r="AA82" s="13">
        <f>$Q$18</f>
        <v>70</v>
      </c>
      <c r="AB82" s="14">
        <f>+Z82*AA82</f>
        <v>802900</v>
      </c>
    </row>
    <row r="83" spans="2:28" ht="45" customHeight="1">
      <c r="B83" s="23"/>
      <c r="C83" s="768" t="s">
        <v>8</v>
      </c>
      <c r="D83" s="773">
        <v>5</v>
      </c>
      <c r="E83" s="347">
        <f>ROUND(((F54+F55/2)/O33)*$D$83,-2)</f>
        <v>2100</v>
      </c>
      <c r="F83" s="276">
        <f>$Q$33</f>
        <v>2000</v>
      </c>
      <c r="G83" s="276">
        <f>ROUND(+E83*F83,-3)</f>
        <v>4200000</v>
      </c>
      <c r="H83" s="19"/>
      <c r="I83" s="771" t="s">
        <v>17</v>
      </c>
      <c r="J83" s="1012"/>
      <c r="K83" s="14"/>
      <c r="L83" s="771" t="s">
        <v>17</v>
      </c>
      <c r="M83" s="19"/>
      <c r="N83" s="771" t="s">
        <v>17</v>
      </c>
      <c r="O83" s="14"/>
      <c r="P83" s="771" t="s">
        <v>17</v>
      </c>
      <c r="R83" s="771" t="s">
        <v>17</v>
      </c>
      <c r="S83" s="14"/>
      <c r="T83" s="771" t="s">
        <v>17</v>
      </c>
      <c r="V83" s="347">
        <f>ROUND(((W58+W59/2)/$O$34)*D83,-2)</f>
        <v>2000</v>
      </c>
      <c r="W83" s="276">
        <f>$Q$34</f>
        <v>2000</v>
      </c>
      <c r="X83" s="276">
        <f>ROUND(+V83*W83,-3)</f>
        <v>4000000</v>
      </c>
      <c r="Z83" s="854" t="s">
        <v>662</v>
      </c>
      <c r="AA83" s="276">
        <f>$Q$34</f>
        <v>2000</v>
      </c>
      <c r="AB83" s="854" t="s">
        <v>662</v>
      </c>
    </row>
    <row r="84" spans="2:28" ht="21.75" customHeight="1">
      <c r="B84" s="11" t="s">
        <v>10</v>
      </c>
      <c r="C84" s="23"/>
      <c r="D84" s="54"/>
      <c r="E84" s="11"/>
      <c r="F84" s="11"/>
      <c r="G84" s="15">
        <f>SUM(G71:G83)</f>
        <v>5844000</v>
      </c>
      <c r="H84" s="21"/>
      <c r="I84" s="11"/>
      <c r="J84" s="1012"/>
      <c r="K84" s="11"/>
      <c r="L84" s="15">
        <f>SUM(L71:L83)</f>
        <v>9815666.666666668</v>
      </c>
      <c r="M84" s="21"/>
      <c r="N84" s="11"/>
      <c r="O84" s="11"/>
      <c r="P84" s="15">
        <f>SUM(P71:P83)</f>
        <v>10537000</v>
      </c>
      <c r="R84" s="11"/>
      <c r="S84" s="11"/>
      <c r="T84" s="15">
        <f>SUM(T71:T83)</f>
        <v>13429000</v>
      </c>
      <c r="V84" s="11"/>
      <c r="W84" s="11"/>
      <c r="X84" s="15">
        <f>SUM(X71:X83)</f>
        <v>8446900</v>
      </c>
      <c r="Z84" s="11"/>
      <c r="AA84" s="11"/>
      <c r="AB84" s="15">
        <f>SUM(AB71:AB83)</f>
        <v>4866900</v>
      </c>
    </row>
    <row r="85" spans="8:13" ht="12.75">
      <c r="H85" s="22"/>
      <c r="J85" s="1012"/>
      <c r="M85" s="22"/>
    </row>
    <row r="86" spans="2:13" ht="16.5" customHeight="1">
      <c r="B86" s="1" t="s">
        <v>11</v>
      </c>
      <c r="H86" s="22"/>
      <c r="J86" s="1012"/>
      <c r="M86" s="22"/>
    </row>
    <row r="87" spans="2:28" ht="17.25" customHeight="1">
      <c r="B87" s="275" t="s">
        <v>6</v>
      </c>
      <c r="C87" s="23"/>
      <c r="D87" s="343" t="s">
        <v>252</v>
      </c>
      <c r="E87" s="342" t="s">
        <v>251</v>
      </c>
      <c r="F87" s="341">
        <f>+$Q$45</f>
        <v>0.12</v>
      </c>
      <c r="G87" s="276">
        <f>ROUND(+G84*F87/12,-2)</f>
        <v>58400</v>
      </c>
      <c r="H87" s="20"/>
      <c r="I87" s="276"/>
      <c r="J87" s="1012"/>
      <c r="K87" s="793">
        <f>+F87</f>
        <v>0.12</v>
      </c>
      <c r="L87" s="276">
        <f>ROUND(+L84*K87/12,-3)</f>
        <v>98000</v>
      </c>
      <c r="M87" s="20"/>
      <c r="N87" s="276"/>
      <c r="O87" s="793">
        <f>+$F$87</f>
        <v>0.12</v>
      </c>
      <c r="P87" s="276">
        <f>ROUND(+P84*O87/12,-3)</f>
        <v>105000</v>
      </c>
      <c r="R87" s="276"/>
      <c r="S87" s="793">
        <f>+$F$87</f>
        <v>0.12</v>
      </c>
      <c r="T87" s="276">
        <f>ROUND(+T84*S87/12,-3)</f>
        <v>134000</v>
      </c>
      <c r="V87" s="276"/>
      <c r="W87" s="341">
        <f>+$Q$45</f>
        <v>0.12</v>
      </c>
      <c r="X87" s="276">
        <f>ROUND(+X84*W87/12,-3)</f>
        <v>84000</v>
      </c>
      <c r="Z87" s="276"/>
      <c r="AA87" s="341">
        <f>+$Q$45</f>
        <v>0.12</v>
      </c>
      <c r="AB87" s="276">
        <f>ROUND(+AB84*AA87/12,-3)</f>
        <v>49000</v>
      </c>
    </row>
    <row r="88" spans="2:28" ht="44.25" customHeight="1">
      <c r="B88" s="986" t="s">
        <v>531</v>
      </c>
      <c r="C88" s="1005"/>
      <c r="D88" s="372">
        <v>10</v>
      </c>
      <c r="E88" s="277" t="s">
        <v>230</v>
      </c>
      <c r="F88" s="794">
        <f>1/D88</f>
        <v>0.1</v>
      </c>
      <c r="G88" s="276">
        <f>ROUND(+G84*$F88/12,-2)</f>
        <v>48700</v>
      </c>
      <c r="H88" s="20"/>
      <c r="I88" s="5"/>
      <c r="J88" s="1012"/>
      <c r="K88" s="5"/>
      <c r="L88" s="276">
        <f>ROUND((+L84-L79)*$F88/12,-2)</f>
        <v>47500</v>
      </c>
      <c r="M88" s="20"/>
      <c r="N88" s="5"/>
      <c r="O88" s="5"/>
      <c r="P88" s="276">
        <f>ROUND((+P84-P80)*$F88/12,-2)</f>
        <v>46000</v>
      </c>
      <c r="R88" s="5"/>
      <c r="S88" s="5"/>
      <c r="T88" s="276">
        <f>ROUND((+T84-T80)*$F88/12,-2)</f>
        <v>46000</v>
      </c>
      <c r="V88" s="5"/>
      <c r="W88" s="5"/>
      <c r="X88" s="276">
        <f>ROUND((X84-X81-X82)*$F88/12,-2)</f>
        <v>47000</v>
      </c>
      <c r="Z88" s="5"/>
      <c r="AA88" s="5"/>
      <c r="AB88" s="276">
        <f>ROUND((AB84-AB81-AB82)*$F88/12,-2)</f>
        <v>17200</v>
      </c>
    </row>
    <row r="89" spans="2:28" ht="44.25" customHeight="1">
      <c r="B89" s="986" t="s">
        <v>536</v>
      </c>
      <c r="C89" s="1005"/>
      <c r="D89" s="372">
        <v>150</v>
      </c>
      <c r="E89" s="277" t="s">
        <v>230</v>
      </c>
      <c r="F89" s="295"/>
      <c r="G89" s="276"/>
      <c r="H89" s="20"/>
      <c r="I89" s="5"/>
      <c r="J89" s="1012"/>
      <c r="K89" s="794">
        <f>1/D79*30*12/D89</f>
        <v>0.24</v>
      </c>
      <c r="L89" s="276">
        <f>ROUND(L79*K89/12,-2)</f>
        <v>82400</v>
      </c>
      <c r="M89" s="20"/>
      <c r="N89" s="5"/>
      <c r="O89" s="794">
        <f>1/$D$80*30*12/$D$89</f>
        <v>0.3</v>
      </c>
      <c r="P89" s="276">
        <f>ROUND(P80*O89/12,-2)</f>
        <v>125300</v>
      </c>
      <c r="R89" s="5"/>
      <c r="S89" s="794">
        <f>1/$D$80*30*12/$D$89</f>
        <v>0.3</v>
      </c>
      <c r="T89" s="276">
        <f>ROUND(T80*S89/12,-2)</f>
        <v>197600</v>
      </c>
      <c r="V89" s="5"/>
      <c r="W89" s="794">
        <f>1/$D$81*30*12/$D$89</f>
        <v>0.3</v>
      </c>
      <c r="X89" s="276">
        <f>ROUND((X81+X82)*W89/12,-2)</f>
        <v>70100</v>
      </c>
      <c r="Z89" s="5"/>
      <c r="AA89" s="794">
        <f>1/$D$81*30*12/$D$89</f>
        <v>0.3</v>
      </c>
      <c r="AB89" s="276">
        <f>ROUND((AB81+AB82)*AA89/12,-2)</f>
        <v>70100</v>
      </c>
    </row>
    <row r="90" spans="2:28" ht="12.75">
      <c r="B90" s="5" t="s">
        <v>12</v>
      </c>
      <c r="C90" s="23"/>
      <c r="D90" s="24"/>
      <c r="E90" s="8">
        <f>ROUND(+'HCRW generation data'!$D$11*(1+$D$9)/30/$O$39,-1)</f>
        <v>140</v>
      </c>
      <c r="F90" s="14">
        <f>$Q$39</f>
        <v>3000</v>
      </c>
      <c r="G90" s="14">
        <f>+E90*F90</f>
        <v>420000</v>
      </c>
      <c r="H90" s="18"/>
      <c r="I90" s="8">
        <f>ROUND(+'HCRW generation data'!$D$11*(1+$D$9)/30/$O$42,-1)</f>
        <v>210</v>
      </c>
      <c r="J90" s="1012"/>
      <c r="K90" s="14">
        <f>$Q$39</f>
        <v>3000</v>
      </c>
      <c r="L90" s="14">
        <f>+I90*K90</f>
        <v>630000</v>
      </c>
      <c r="M90" s="18"/>
      <c r="N90" s="8">
        <f>ROUND(+'HCRW generation data'!$D$11*(1+$D$9)/30/$O$44,-1)</f>
        <v>130</v>
      </c>
      <c r="O90" s="14">
        <f>$Q$39</f>
        <v>3000</v>
      </c>
      <c r="P90" s="14">
        <f>ROUND(+N90*O90,-3)</f>
        <v>390000</v>
      </c>
      <c r="R90" s="8">
        <f>ROUND(+'HCRW generation data'!$D$11*(1+$D$9)/30/$O$43,-1)</f>
        <v>140</v>
      </c>
      <c r="S90" s="14">
        <f>$Q$39</f>
        <v>3000</v>
      </c>
      <c r="T90" s="14">
        <f>ROUND(+R90*S90,-3)</f>
        <v>420000</v>
      </c>
      <c r="V90" s="8">
        <f>ROUND(+'HCRW generation data'!$D$11*(1+$D$9)/30/$O$40,-1)</f>
        <v>240</v>
      </c>
      <c r="W90" s="14">
        <f>$Q$39</f>
        <v>3000</v>
      </c>
      <c r="X90" s="14">
        <f>ROUND(+V90*W90,-3)</f>
        <v>720000</v>
      </c>
      <c r="Z90" s="8">
        <f>ROUND(+'HCRW generation data'!$D$11*(1+$D$9)/30/$O$41,-1)</f>
        <v>280</v>
      </c>
      <c r="AA90" s="14">
        <f>$Q$39</f>
        <v>3000</v>
      </c>
      <c r="AB90" s="14">
        <f>ROUND(+Z90*AA90,-3)</f>
        <v>840000</v>
      </c>
    </row>
    <row r="91" spans="2:28" ht="12.75">
      <c r="B91" s="5" t="s">
        <v>13</v>
      </c>
      <c r="C91" s="23"/>
      <c r="D91" s="24"/>
      <c r="E91" s="5"/>
      <c r="F91" s="5"/>
      <c r="G91" s="5"/>
      <c r="H91" s="18"/>
      <c r="I91" s="5"/>
      <c r="J91" s="1012"/>
      <c r="K91" s="5"/>
      <c r="L91" s="5"/>
      <c r="M91" s="18"/>
      <c r="N91" s="5"/>
      <c r="O91" s="5"/>
      <c r="P91" s="5"/>
      <c r="R91" s="5"/>
      <c r="S91" s="5"/>
      <c r="T91" s="5"/>
      <c r="V91" s="5"/>
      <c r="W91" s="5"/>
      <c r="X91" s="5"/>
      <c r="Z91" s="5"/>
      <c r="AA91" s="5"/>
      <c r="AB91" s="5"/>
    </row>
    <row r="92" spans="2:28" ht="12.75">
      <c r="B92" s="23"/>
      <c r="C92" s="24" t="s">
        <v>21</v>
      </c>
      <c r="D92" s="24"/>
      <c r="E92" s="8">
        <f>+G54</f>
        <v>80400</v>
      </c>
      <c r="F92" s="13">
        <f>+$Q$7</f>
        <v>11.5</v>
      </c>
      <c r="G92" s="14">
        <f>ROUND(+E92*F92,-3)</f>
        <v>925000</v>
      </c>
      <c r="H92" s="20"/>
      <c r="I92" s="5"/>
      <c r="J92" s="1012"/>
      <c r="K92" s="13"/>
      <c r="L92" s="5"/>
      <c r="M92" s="18"/>
      <c r="N92" s="5"/>
      <c r="O92" s="13"/>
      <c r="P92" s="5"/>
      <c r="R92" s="5"/>
      <c r="S92" s="13"/>
      <c r="T92" s="5"/>
      <c r="V92" s="12" t="s">
        <v>17</v>
      </c>
      <c r="W92" s="5"/>
      <c r="X92" s="12" t="s">
        <v>17</v>
      </c>
      <c r="Z92" s="12" t="s">
        <v>17</v>
      </c>
      <c r="AA92" s="5"/>
      <c r="AB92" s="12" t="s">
        <v>17</v>
      </c>
    </row>
    <row r="93" spans="2:28" ht="12.75">
      <c r="B93" s="23"/>
      <c r="C93" s="24" t="s">
        <v>22</v>
      </c>
      <c r="D93" s="24"/>
      <c r="E93" s="8">
        <f>+G61</f>
        <v>3600</v>
      </c>
      <c r="F93" s="13">
        <f>+$Q$8</f>
        <v>6.2</v>
      </c>
      <c r="G93" s="14">
        <f>ROUND(+E93*F93,-3)</f>
        <v>22000</v>
      </c>
      <c r="H93" s="20"/>
      <c r="I93" s="5"/>
      <c r="J93" s="1012"/>
      <c r="K93" s="13"/>
      <c r="L93" s="5"/>
      <c r="M93" s="18"/>
      <c r="N93" s="5"/>
      <c r="O93" s="13"/>
      <c r="P93" s="5"/>
      <c r="R93" s="5"/>
      <c r="S93" s="13"/>
      <c r="T93" s="5"/>
      <c r="V93" s="12" t="s">
        <v>17</v>
      </c>
      <c r="W93" s="5"/>
      <c r="X93" s="12" t="s">
        <v>17</v>
      </c>
      <c r="Z93" s="12" t="s">
        <v>17</v>
      </c>
      <c r="AA93" s="5"/>
      <c r="AB93" s="12" t="s">
        <v>17</v>
      </c>
    </row>
    <row r="94" spans="2:28" ht="12.75">
      <c r="B94" s="23"/>
      <c r="C94" s="24" t="s">
        <v>23</v>
      </c>
      <c r="D94" s="5"/>
      <c r="E94" s="12" t="s">
        <v>17</v>
      </c>
      <c r="F94" s="13"/>
      <c r="G94" s="12" t="s">
        <v>17</v>
      </c>
      <c r="H94" s="19"/>
      <c r="I94" s="8">
        <f>+L61</f>
        <v>2800</v>
      </c>
      <c r="J94" s="1012"/>
      <c r="K94" s="13">
        <f>$Q$11</f>
        <v>26.22</v>
      </c>
      <c r="L94" s="14">
        <f>ROUND(+I94*K94,-3)</f>
        <v>73000</v>
      </c>
      <c r="M94" s="20"/>
      <c r="N94" s="8">
        <f>+P61</f>
        <v>2800</v>
      </c>
      <c r="O94" s="13">
        <f>$Q$11</f>
        <v>26.22</v>
      </c>
      <c r="P94" s="14">
        <f>ROUND(+N94*O94,-3)</f>
        <v>73000</v>
      </c>
      <c r="R94" s="8">
        <f>+T61</f>
        <v>2800</v>
      </c>
      <c r="S94" s="13">
        <f>$Q$11</f>
        <v>26.22</v>
      </c>
      <c r="T94" s="14">
        <f>ROUND(+R94*S94,-3)</f>
        <v>73000</v>
      </c>
      <c r="V94" s="12" t="s">
        <v>17</v>
      </c>
      <c r="W94" s="13">
        <f>$Q$11</f>
        <v>26.22</v>
      </c>
      <c r="X94" s="12" t="s">
        <v>17</v>
      </c>
      <c r="Z94" s="12" t="s">
        <v>17</v>
      </c>
      <c r="AA94" s="13">
        <f>$Q$11</f>
        <v>26.22</v>
      </c>
      <c r="AB94" s="12" t="s">
        <v>17</v>
      </c>
    </row>
    <row r="95" spans="2:28" ht="12.75">
      <c r="B95" s="23"/>
      <c r="C95" s="24" t="s">
        <v>154</v>
      </c>
      <c r="D95" s="24"/>
      <c r="E95" s="8">
        <f>+G63</f>
        <v>27900</v>
      </c>
      <c r="F95" s="13">
        <f>+$Q$12</f>
        <v>12</v>
      </c>
      <c r="G95" s="14">
        <f>ROUND(+E95*F95,-3)</f>
        <v>335000</v>
      </c>
      <c r="H95" s="18"/>
      <c r="I95" s="8">
        <f>+L63</f>
        <v>27900</v>
      </c>
      <c r="J95" s="1012"/>
      <c r="K95" s="13">
        <f>+$Q$12</f>
        <v>12</v>
      </c>
      <c r="L95" s="14">
        <f>ROUND(+I95*K95,-3)</f>
        <v>335000</v>
      </c>
      <c r="M95" s="20"/>
      <c r="N95" s="8">
        <f>+P63</f>
        <v>27900</v>
      </c>
      <c r="O95" s="13">
        <f>+$Q$12</f>
        <v>12</v>
      </c>
      <c r="P95" s="14">
        <f>ROUND(+N95*O95,-3)</f>
        <v>335000</v>
      </c>
      <c r="R95" s="8">
        <f>+T63</f>
        <v>27900</v>
      </c>
      <c r="S95" s="13">
        <f>+$Q$12</f>
        <v>12</v>
      </c>
      <c r="T95" s="14">
        <f>ROUND(+R95*S95,-3)</f>
        <v>335000</v>
      </c>
      <c r="V95" s="745">
        <f>X63</f>
        <v>27900</v>
      </c>
      <c r="W95" s="13">
        <f>+$Q$12</f>
        <v>12</v>
      </c>
      <c r="X95" s="14">
        <f>ROUND(+V95*W95,-3)</f>
        <v>335000</v>
      </c>
      <c r="Z95" s="745">
        <f>AB63</f>
        <v>27900</v>
      </c>
      <c r="AA95" s="13">
        <f>+$Q$12</f>
        <v>12</v>
      </c>
      <c r="AB95" s="14">
        <f>ROUND(+Z95*AA95,-3)</f>
        <v>335000</v>
      </c>
    </row>
    <row r="96" spans="2:28" ht="12.75">
      <c r="B96" s="23"/>
      <c r="C96" s="24" t="s">
        <v>583</v>
      </c>
      <c r="D96" s="24"/>
      <c r="E96" s="12" t="s">
        <v>17</v>
      </c>
      <c r="F96" s="13"/>
      <c r="G96" s="12" t="s">
        <v>17</v>
      </c>
      <c r="H96" s="18"/>
      <c r="I96" s="8">
        <f>L54</f>
        <v>103000</v>
      </c>
      <c r="J96" s="1012"/>
      <c r="K96" s="13">
        <f>$Q$20</f>
        <v>0.39</v>
      </c>
      <c r="L96" s="14">
        <f>ROUND(+I96*K96,-3)</f>
        <v>40000</v>
      </c>
      <c r="M96" s="20"/>
      <c r="N96" s="8">
        <f>P54</f>
        <v>103000</v>
      </c>
      <c r="O96" s="13">
        <f>$Q$20</f>
        <v>0.39</v>
      </c>
      <c r="P96" s="14">
        <f>ROUND(+N96*O96,-3)</f>
        <v>40000</v>
      </c>
      <c r="R96" s="8">
        <f>T54</f>
        <v>103000</v>
      </c>
      <c r="S96" s="13">
        <f>$Q$20</f>
        <v>0.39</v>
      </c>
      <c r="T96" s="14">
        <f>ROUND(+R96*S96,-3)</f>
        <v>40000</v>
      </c>
      <c r="V96" s="745">
        <f>X54</f>
        <v>103000</v>
      </c>
      <c r="W96" s="13">
        <f>$Q$20</f>
        <v>0.39</v>
      </c>
      <c r="X96" s="14">
        <f>ROUND(+V96*W96,-3)</f>
        <v>40000</v>
      </c>
      <c r="Z96" s="745">
        <f>AB54</f>
        <v>103000</v>
      </c>
      <c r="AA96" s="13">
        <f>$Q$20</f>
        <v>0.39</v>
      </c>
      <c r="AB96" s="14">
        <f>ROUND(+Z96*AA96,-3)</f>
        <v>40000</v>
      </c>
    </row>
    <row r="97" spans="2:28" ht="12" customHeight="1">
      <c r="B97" s="23"/>
      <c r="C97" s="24" t="s">
        <v>584</v>
      </c>
      <c r="D97" s="24"/>
      <c r="E97" s="745">
        <f>G55</f>
        <v>145000</v>
      </c>
      <c r="F97" s="13">
        <f>$Q$21</f>
        <v>0.7</v>
      </c>
      <c r="G97" s="14">
        <f>ROUND(+E97*F97,-3)</f>
        <v>102000</v>
      </c>
      <c r="H97" s="19"/>
      <c r="I97" s="8">
        <f>L55</f>
        <v>145000</v>
      </c>
      <c r="J97" s="1012"/>
      <c r="K97" s="13">
        <f>$Q$21</f>
        <v>0.7</v>
      </c>
      <c r="L97" s="14">
        <f>ROUND(+I97*K97,-3)</f>
        <v>102000</v>
      </c>
      <c r="M97" s="20"/>
      <c r="N97" s="8">
        <f>P55</f>
        <v>145000</v>
      </c>
      <c r="O97" s="13">
        <f>$Q$21</f>
        <v>0.7</v>
      </c>
      <c r="P97" s="14">
        <f>ROUND(+N97*O97,-3)</f>
        <v>102000</v>
      </c>
      <c r="R97" s="8">
        <f>+T55</f>
        <v>145000</v>
      </c>
      <c r="S97" s="13">
        <f>$Q$21</f>
        <v>0.7</v>
      </c>
      <c r="T97" s="14">
        <f>ROUND(+R97*S97,-3)</f>
        <v>102000</v>
      </c>
      <c r="V97" s="745">
        <f>X55</f>
        <v>145000</v>
      </c>
      <c r="W97" s="13">
        <f>$Q$21</f>
        <v>0.7</v>
      </c>
      <c r="X97" s="14">
        <f>ROUND(+V97*W97,-3)</f>
        <v>102000</v>
      </c>
      <c r="Z97" s="745">
        <f>AB55</f>
        <v>145000</v>
      </c>
      <c r="AA97" s="13">
        <f>$Q$21</f>
        <v>0.7</v>
      </c>
      <c r="AB97" s="14">
        <f>ROUND(+Z97*AA97,-3)</f>
        <v>102000</v>
      </c>
    </row>
    <row r="98" spans="2:28" ht="12" customHeight="1">
      <c r="B98" s="23"/>
      <c r="C98" s="24" t="s">
        <v>586</v>
      </c>
      <c r="D98" s="24"/>
      <c r="E98" s="12" t="s">
        <v>17</v>
      </c>
      <c r="F98" s="13"/>
      <c r="G98" s="12" t="s">
        <v>17</v>
      </c>
      <c r="H98" s="19"/>
      <c r="I98" s="12" t="s">
        <v>17</v>
      </c>
      <c r="J98" s="1012"/>
      <c r="K98" s="13"/>
      <c r="L98" s="12" t="s">
        <v>17</v>
      </c>
      <c r="M98" s="20"/>
      <c r="N98" s="12" t="s">
        <v>17</v>
      </c>
      <c r="O98" s="13"/>
      <c r="P98" s="12" t="s">
        <v>17</v>
      </c>
      <c r="R98" s="12" t="s">
        <v>17</v>
      </c>
      <c r="S98" s="13"/>
      <c r="T98" s="12" t="s">
        <v>17</v>
      </c>
      <c r="V98" s="745">
        <f>X56</f>
        <v>45000</v>
      </c>
      <c r="W98" s="13">
        <f>$Q$22</f>
        <v>1.12</v>
      </c>
      <c r="X98" s="14">
        <f>ROUND(+V98*W98,-3)</f>
        <v>50000</v>
      </c>
      <c r="Z98" s="745">
        <f>AB56</f>
        <v>45000</v>
      </c>
      <c r="AA98" s="13">
        <f>$Q$22</f>
        <v>1.12</v>
      </c>
      <c r="AB98" s="14">
        <f>ROUND(+Z98*AA98,-3)</f>
        <v>50000</v>
      </c>
    </row>
    <row r="99" spans="2:28" ht="12.75">
      <c r="B99" s="23"/>
      <c r="C99" s="24" t="s">
        <v>585</v>
      </c>
      <c r="D99" s="24"/>
      <c r="E99" s="12" t="s">
        <v>17</v>
      </c>
      <c r="F99" s="13"/>
      <c r="G99" s="12" t="s">
        <v>17</v>
      </c>
      <c r="H99" s="19"/>
      <c r="I99" s="745">
        <f>L56</f>
        <v>145000</v>
      </c>
      <c r="J99" s="1012"/>
      <c r="K99" s="13">
        <f>$Q$23</f>
        <v>1.8</v>
      </c>
      <c r="L99" s="14">
        <f>ROUND(+I99*K99,-3)</f>
        <v>261000</v>
      </c>
      <c r="M99" s="20"/>
      <c r="N99" s="745">
        <f>P56</f>
        <v>145000</v>
      </c>
      <c r="O99" s="13">
        <f>$Q$23</f>
        <v>1.8</v>
      </c>
      <c r="P99" s="14">
        <f>ROUND(+N99*O99,-3)</f>
        <v>261000</v>
      </c>
      <c r="R99" s="745">
        <f>T56</f>
        <v>145000</v>
      </c>
      <c r="S99" s="13">
        <f>$Q$23</f>
        <v>1.8</v>
      </c>
      <c r="T99" s="14">
        <f>ROUND(+R99*S99,-3)</f>
        <v>261000</v>
      </c>
      <c r="V99" s="12" t="s">
        <v>17</v>
      </c>
      <c r="W99" s="13">
        <f>$Q$23</f>
        <v>1.8</v>
      </c>
      <c r="X99" s="12" t="s">
        <v>17</v>
      </c>
      <c r="Z99" s="12" t="s">
        <v>17</v>
      </c>
      <c r="AA99" s="13">
        <f>$Q$23</f>
        <v>1.8</v>
      </c>
      <c r="AB99" s="12" t="s">
        <v>17</v>
      </c>
    </row>
    <row r="100" spans="2:28" ht="12.75">
      <c r="B100" s="23"/>
      <c r="C100" s="24" t="s">
        <v>587</v>
      </c>
      <c r="D100" s="24"/>
      <c r="E100" s="12" t="s">
        <v>17</v>
      </c>
      <c r="F100" s="13"/>
      <c r="G100" s="12" t="s">
        <v>17</v>
      </c>
      <c r="H100" s="19"/>
      <c r="I100" s="12" t="s">
        <v>17</v>
      </c>
      <c r="J100" s="1012"/>
      <c r="K100" s="13"/>
      <c r="L100" s="12" t="s">
        <v>17</v>
      </c>
      <c r="M100" s="20"/>
      <c r="N100" s="12" t="s">
        <v>17</v>
      </c>
      <c r="O100" s="13"/>
      <c r="P100" s="12" t="s">
        <v>17</v>
      </c>
      <c r="R100" s="12" t="s">
        <v>17</v>
      </c>
      <c r="S100" s="13"/>
      <c r="T100" s="12" t="s">
        <v>17</v>
      </c>
      <c r="V100" s="8">
        <f>X57</f>
        <v>79000</v>
      </c>
      <c r="W100" s="13">
        <f>$Q$24</f>
        <v>1.5</v>
      </c>
      <c r="X100" s="14">
        <f>ROUND(+V100*W100,-3)</f>
        <v>119000</v>
      </c>
      <c r="Z100" s="8">
        <f>AB57</f>
        <v>79000</v>
      </c>
      <c r="AA100" s="13">
        <f>$Q$24</f>
        <v>1.5</v>
      </c>
      <c r="AB100" s="14">
        <f>ROUND(+Z100*AA100,-3)</f>
        <v>119000</v>
      </c>
    </row>
    <row r="101" spans="2:28" ht="12.75">
      <c r="B101" s="23"/>
      <c r="C101" s="24" t="s">
        <v>588</v>
      </c>
      <c r="D101" s="24"/>
      <c r="E101" s="12" t="s">
        <v>17</v>
      </c>
      <c r="F101" s="13"/>
      <c r="G101" s="12" t="s">
        <v>17</v>
      </c>
      <c r="H101" s="19"/>
      <c r="I101" s="8">
        <f>L57</f>
        <v>41200</v>
      </c>
      <c r="J101" s="1012"/>
      <c r="K101" s="13">
        <f>$Q$25</f>
        <v>1.8</v>
      </c>
      <c r="L101" s="14">
        <f>ROUND(+I101*K101,-3)</f>
        <v>74000</v>
      </c>
      <c r="M101" s="20"/>
      <c r="N101" s="12" t="s">
        <v>17</v>
      </c>
      <c r="O101" s="13"/>
      <c r="P101" s="12" t="s">
        <v>17</v>
      </c>
      <c r="R101" s="12" t="s">
        <v>17</v>
      </c>
      <c r="S101" s="13"/>
      <c r="T101" s="12" t="s">
        <v>17</v>
      </c>
      <c r="V101" s="12" t="s">
        <v>17</v>
      </c>
      <c r="W101" s="13">
        <f>$Q$25</f>
        <v>1.8</v>
      </c>
      <c r="X101" s="12" t="s">
        <v>17</v>
      </c>
      <c r="Z101" s="12" t="s">
        <v>17</v>
      </c>
      <c r="AA101" s="13">
        <f>$Q$25</f>
        <v>1.8</v>
      </c>
      <c r="AB101" s="12" t="s">
        <v>17</v>
      </c>
    </row>
    <row r="102" spans="2:28" ht="37.5" customHeight="1">
      <c r="B102" s="986" t="s">
        <v>532</v>
      </c>
      <c r="C102" s="987"/>
      <c r="D102" s="320">
        <v>5</v>
      </c>
      <c r="E102" s="767">
        <f>+D102/100</f>
        <v>0.05</v>
      </c>
      <c r="F102" s="13"/>
      <c r="G102" s="276">
        <f>ROUND(+G84*$E102/12,-2)</f>
        <v>24400</v>
      </c>
      <c r="H102" s="18"/>
      <c r="I102" s="5"/>
      <c r="J102" s="1013"/>
      <c r="K102" s="5"/>
      <c r="L102" s="276">
        <f>ROUND(+(L84-L79)*$E102/12,-2)</f>
        <v>23700</v>
      </c>
      <c r="M102" s="18"/>
      <c r="N102" s="5"/>
      <c r="O102" s="5"/>
      <c r="P102" s="276">
        <f>ROUND(+(P84-P80)*$E102/12,-2)</f>
        <v>23000</v>
      </c>
      <c r="R102" s="5"/>
      <c r="S102" s="5"/>
      <c r="T102" s="276">
        <f>ROUND(+(T84-T80)*$E102/12,-2)</f>
        <v>23000</v>
      </c>
      <c r="V102" s="5"/>
      <c r="W102" s="5"/>
      <c r="X102" s="276">
        <f>ROUND(+(X84-X81-X82)*$E102/12,-2)</f>
        <v>23500</v>
      </c>
      <c r="Z102" s="5"/>
      <c r="AA102" s="5"/>
      <c r="AB102" s="276">
        <f>ROUND(+(AB84-AB81-AB82)*$E102/12,-2)</f>
        <v>8600</v>
      </c>
    </row>
    <row r="103" spans="2:28" ht="18.75" customHeight="1">
      <c r="B103" s="3" t="s">
        <v>39</v>
      </c>
      <c r="C103" s="23"/>
      <c r="D103" s="25"/>
      <c r="E103" s="25"/>
      <c r="F103" s="24"/>
      <c r="G103" s="15">
        <f>SUM(G87:G102)</f>
        <v>1935500</v>
      </c>
      <c r="H103" s="21"/>
      <c r="I103" s="26"/>
      <c r="J103" s="53"/>
      <c r="K103" s="27"/>
      <c r="L103" s="15">
        <f>SUM(L87:L102)</f>
        <v>1766600</v>
      </c>
      <c r="M103" s="21"/>
      <c r="N103" s="26"/>
      <c r="O103" s="27"/>
      <c r="P103" s="15">
        <f>SUM(P87:P102)</f>
        <v>1500300</v>
      </c>
      <c r="R103" s="26"/>
      <c r="S103" s="27"/>
      <c r="T103" s="15">
        <f>SUM(T87:T102)</f>
        <v>1631600</v>
      </c>
      <c r="V103" s="26"/>
      <c r="W103" s="27"/>
      <c r="X103" s="15">
        <f>SUM(X87:X102)</f>
        <v>1590600</v>
      </c>
      <c r="Z103" s="26"/>
      <c r="AA103" s="27"/>
      <c r="AB103" s="15">
        <f>SUM(AB87:AB102)</f>
        <v>1630900</v>
      </c>
    </row>
    <row r="104" ht="12.75">
      <c r="B104" s="1"/>
    </row>
    <row r="105" ht="12.75">
      <c r="B105" s="1"/>
    </row>
    <row r="106" spans="1:29" ht="27.75" customHeight="1">
      <c r="A106" s="32" t="s">
        <v>523</v>
      </c>
      <c r="H106" s="1007" t="s">
        <v>238</v>
      </c>
      <c r="M106" s="1007" t="s">
        <v>238</v>
      </c>
      <c r="Q106" s="956" t="s">
        <v>238</v>
      </c>
      <c r="R106" s="821"/>
      <c r="U106" s="956" t="s">
        <v>238</v>
      </c>
      <c r="Y106" s="956" t="s">
        <v>238</v>
      </c>
      <c r="AC106" s="956" t="s">
        <v>238</v>
      </c>
    </row>
    <row r="107" spans="3:29" ht="42" customHeight="1">
      <c r="C107" s="7" t="s">
        <v>161</v>
      </c>
      <c r="D107" s="7" t="s">
        <v>82</v>
      </c>
      <c r="F107" s="7" t="s">
        <v>188</v>
      </c>
      <c r="G107" s="7" t="s">
        <v>153</v>
      </c>
      <c r="H107" s="1007"/>
      <c r="K107" s="7" t="s">
        <v>188</v>
      </c>
      <c r="L107" s="7" t="s">
        <v>153</v>
      </c>
      <c r="M107" s="1007"/>
      <c r="O107" s="7" t="s">
        <v>188</v>
      </c>
      <c r="P107" s="7" t="s">
        <v>153</v>
      </c>
      <c r="Q107" s="956"/>
      <c r="R107" s="821"/>
      <c r="S107" s="7" t="s">
        <v>188</v>
      </c>
      <c r="T107" s="7" t="s">
        <v>153</v>
      </c>
      <c r="U107" s="956"/>
      <c r="W107" s="7" t="s">
        <v>188</v>
      </c>
      <c r="X107" s="7" t="s">
        <v>153</v>
      </c>
      <c r="Y107" s="956"/>
      <c r="AA107" s="7" t="s">
        <v>188</v>
      </c>
      <c r="AB107" s="7" t="s">
        <v>153</v>
      </c>
      <c r="AC107" s="956"/>
    </row>
    <row r="108" spans="3:29" ht="12.75">
      <c r="C108" s="145">
        <v>1</v>
      </c>
      <c r="D108" s="5">
        <v>80</v>
      </c>
      <c r="F108" s="131">
        <f>MIN('Transport Costs'!E145:I145)</f>
        <v>6.75</v>
      </c>
      <c r="G108" s="15">
        <f>ROUND(+F108*(G$54+G$61/2),-3)</f>
        <v>555000</v>
      </c>
      <c r="H108" s="301">
        <f>+G108*12/'Transport Costs'!L126</f>
        <v>16.382365952369934</v>
      </c>
      <c r="K108" s="131">
        <f>MIN('Transport Costs'!F147:I147)</f>
        <v>20.6</v>
      </c>
      <c r="L108" s="15">
        <f>ROUND(+K108*L$65,-3)</f>
        <v>849000</v>
      </c>
      <c r="M108" s="301">
        <f>L108*12/'Transport Costs'!L127</f>
        <v>29.480969051927364</v>
      </c>
      <c r="O108" s="131">
        <f>MIN('Transport Costs'!F148:I148)</f>
        <v>53.5625</v>
      </c>
      <c r="P108" s="15">
        <f>ROUND(+O108*P$65,-3)</f>
        <v>552000</v>
      </c>
      <c r="Q108" s="302">
        <f>P108*12/'Transport Costs'!L128</f>
        <v>19.167838535528745</v>
      </c>
      <c r="R108" s="302"/>
      <c r="S108" s="131">
        <f>MIN('Transport Costs'!F149:I149)</f>
        <v>53.5625</v>
      </c>
      <c r="T108" s="15">
        <f>ROUND(+S108*T$65,-3)</f>
        <v>648000</v>
      </c>
      <c r="U108" s="302">
        <f>T108*12/'Transport Costs'!L129</f>
        <v>22.50137567214244</v>
      </c>
      <c r="W108" s="131">
        <f>MIN('Transport Costs'!E146:I146)</f>
        <v>10.1125</v>
      </c>
      <c r="X108" s="15">
        <f>ROUND(+W108*(X$58+X$59/2),-3)</f>
        <v>976000</v>
      </c>
      <c r="Y108" s="302">
        <f>+X108*12/'Transport Costs'!L126</f>
        <v>28.809349854978482</v>
      </c>
      <c r="AA108" s="131">
        <f>MIN('Transport Costs'!E144:I144)</f>
        <v>6.5375000000000005</v>
      </c>
      <c r="AB108" s="15">
        <f>ROUND(+AA108*(AB$58+AB$59/2),-3)</f>
        <v>631000</v>
      </c>
      <c r="AC108" s="302">
        <f>+AB108*12/'Transport Costs'!L125</f>
        <v>24.125790572079463</v>
      </c>
    </row>
    <row r="109" spans="3:29" ht="12.75">
      <c r="C109" s="145">
        <v>3</v>
      </c>
      <c r="D109" s="5">
        <v>57</v>
      </c>
      <c r="F109" s="131">
        <f>MIN('Transport Costs'!E192:I192)</f>
        <v>5.2125</v>
      </c>
      <c r="G109" s="15">
        <f>ROUND(+F109*(G$54+G$61/2),-3)</f>
        <v>428000</v>
      </c>
      <c r="H109" s="304">
        <f>G109*12/'Transport Costs'!L173</f>
        <v>12.9735256145828</v>
      </c>
      <c r="K109" s="131">
        <f>MIN('Transport Costs'!F194:I194)</f>
        <v>16.275</v>
      </c>
      <c r="L109" s="15">
        <f>ROUND(+K109*L$65,-3)</f>
        <v>671000</v>
      </c>
      <c r="M109" s="301">
        <f>L109*12/'Transport Costs'!L174</f>
        <v>24.027018918294896</v>
      </c>
      <c r="O109" s="131">
        <f>MIN('Transport Costs'!F195:I195)</f>
        <v>42.3125</v>
      </c>
      <c r="P109" s="15">
        <f>ROUND(+O109*P$65,-3)</f>
        <v>436000</v>
      </c>
      <c r="Q109" s="302">
        <f>P109*12/'Transport Costs'!L175</f>
        <v>15.612191130218442</v>
      </c>
      <c r="R109" s="302"/>
      <c r="S109" s="131">
        <f>MIN('Transport Costs'!F196:I196)</f>
        <v>42.3125</v>
      </c>
      <c r="T109" s="15">
        <f>ROUND(+S109*T$65,-3)</f>
        <v>512000</v>
      </c>
      <c r="U109" s="302">
        <f>T109*12/'Transport Costs'!L176</f>
        <v>18.33358224466019</v>
      </c>
      <c r="W109" s="131">
        <f>MIN('Transport Costs'!E193:I193)</f>
        <v>7.824999999999999</v>
      </c>
      <c r="X109" s="15">
        <f>ROUND(+W109*(X$58+X$59/2),-3)</f>
        <v>755000</v>
      </c>
      <c r="Y109" s="302">
        <f>+X109*12/'Transport Costs'!L173</f>
        <v>22.88554167992994</v>
      </c>
      <c r="AA109" s="131">
        <f>MIN('Transport Costs'!E191:I191)</f>
        <v>5.6000000000000005</v>
      </c>
      <c r="AB109" s="15">
        <f>ROUND(+AA109*(AB$58+AB$59/2),-3)</f>
        <v>540000</v>
      </c>
      <c r="AC109" s="302">
        <f>+AB109*12/'Transport Costs'!L172</f>
        <v>21.332196568446797</v>
      </c>
    </row>
    <row r="110" spans="3:29" ht="12.75">
      <c r="C110" s="145">
        <v>10</v>
      </c>
      <c r="D110" s="5">
        <v>28</v>
      </c>
      <c r="F110" s="131">
        <f>MIN('Transport Costs'!E239:I239)</f>
        <v>3.2874999999999996</v>
      </c>
      <c r="G110" s="15">
        <f>ROUND(+F110*(G$54+G$61/2),-3)</f>
        <v>270000</v>
      </c>
      <c r="H110" s="304">
        <f>G110*12/'Transport Costs'!L220</f>
        <v>8.739853685201831</v>
      </c>
      <c r="K110" s="131">
        <f>MIN('Transport Costs'!F241:I241)</f>
        <v>10.8125</v>
      </c>
      <c r="L110" s="15">
        <f>ROUND(+K110*L$65,-3)</f>
        <v>445000</v>
      </c>
      <c r="M110" s="301">
        <f>L110*12/'Transport Costs'!L221</f>
        <v>17.092527620649737</v>
      </c>
      <c r="O110" s="131">
        <f>MIN('Transport Costs'!F242:I242)</f>
        <v>28.112499999999997</v>
      </c>
      <c r="P110" s="15">
        <f>ROUND(+O110*P$65,-3)</f>
        <v>290000</v>
      </c>
      <c r="Q110" s="302">
        <f>P110*12/'Transport Costs'!L222</f>
        <v>11.138950584243648</v>
      </c>
      <c r="R110" s="302"/>
      <c r="S110" s="131">
        <f>MIN('Transport Costs'!F243:I243)</f>
        <v>28.112499999999997</v>
      </c>
      <c r="T110" s="15">
        <f>ROUND(+S110*T$65,-3)</f>
        <v>340000</v>
      </c>
      <c r="U110" s="302">
        <f>T110*12/'Transport Costs'!L223</f>
        <v>13.059459305664966</v>
      </c>
      <c r="W110" s="131">
        <f>MIN('Transport Costs'!E240:I240)</f>
        <v>4.925</v>
      </c>
      <c r="X110" s="15">
        <f>ROUND(+W110*(X$58+X$59/2),-3)</f>
        <v>475000</v>
      </c>
      <c r="Y110" s="302">
        <f>+X110*12/'Transport Costs'!L220</f>
        <v>15.375668520262481</v>
      </c>
      <c r="AA110" s="131">
        <f>MIN('Transport Costs'!E238:I238)</f>
        <v>4.4125</v>
      </c>
      <c r="AB110" s="15">
        <f>ROUND(+AA110*(AB$58+AB$59/2),-3)</f>
        <v>426000</v>
      </c>
      <c r="AC110" s="302">
        <f>+AB110*12/'Transport Costs'!L219</f>
        <v>17.83819494186488</v>
      </c>
    </row>
    <row r="111" spans="3:29" ht="12.75">
      <c r="C111" s="145">
        <v>20</v>
      </c>
      <c r="D111" s="5">
        <v>15</v>
      </c>
      <c r="F111" s="131">
        <f>MIN('Transport Costs'!E286:I286)</f>
        <v>2.4125</v>
      </c>
      <c r="G111" s="15">
        <f>ROUND(+F111*(G$54+G$61/2),-3)</f>
        <v>198000</v>
      </c>
      <c r="H111" s="304">
        <f>G111*12/'Transport Costs'!L267</f>
        <v>6.803278423541396</v>
      </c>
      <c r="K111" s="131">
        <f>MIN('Transport Costs'!F288:I288)</f>
        <v>8.3625</v>
      </c>
      <c r="L111" s="15">
        <f>ROUND(+K111*L$65,-3)</f>
        <v>345000</v>
      </c>
      <c r="M111" s="301">
        <f>L111*12/'Transport Costs'!L268</f>
        <v>14.034216806414165</v>
      </c>
      <c r="O111" s="131">
        <f>MIN('Transport Costs'!F289:I289)</f>
        <v>21.75</v>
      </c>
      <c r="P111" s="15">
        <f>ROUND(+O111*P$65,-3)</f>
        <v>224000</v>
      </c>
      <c r="Q111" s="302">
        <f>P111*12/'Transport Costs'!L269</f>
        <v>9.112071201845719</v>
      </c>
      <c r="R111" s="302"/>
      <c r="S111" s="131">
        <f>MIN('Transport Costs'!F290:I290)</f>
        <v>21.75</v>
      </c>
      <c r="T111" s="15">
        <f>ROUND(+S111*T$65,-3)</f>
        <v>263000</v>
      </c>
      <c r="U111" s="302">
        <f>T111*12/'Transport Costs'!L270</f>
        <v>10.698547884309928</v>
      </c>
      <c r="W111" s="131">
        <f>MIN('Transport Costs'!E287:I287)</f>
        <v>3.625</v>
      </c>
      <c r="X111" s="15">
        <f>ROUND(+W111*(X$58+X$59/2),-3)</f>
        <v>350000</v>
      </c>
      <c r="Y111" s="302">
        <f>+X111*12/'Transport Costs'!L267</f>
        <v>12.025997213330752</v>
      </c>
      <c r="AA111" s="131">
        <f>MIN('Transport Costs'!E285:I285)</f>
        <v>3.8874999999999997</v>
      </c>
      <c r="AB111" s="15">
        <f>ROUND(+AA111*(AB$58+AB$59/2),-3)</f>
        <v>375000</v>
      </c>
      <c r="AC111" s="302">
        <f>+AB111*12/'Transport Costs'!L266</f>
        <v>16.276466841220053</v>
      </c>
    </row>
    <row r="112" ht="12.75">
      <c r="H112" s="22"/>
    </row>
    <row r="113" spans="8:13" ht="12.75">
      <c r="H113" s="22"/>
      <c r="M113" s="22"/>
    </row>
    <row r="114" spans="1:13" ht="15.75">
      <c r="A114" s="28" t="s">
        <v>524</v>
      </c>
      <c r="H114" s="22"/>
      <c r="M114" s="22"/>
    </row>
    <row r="115" spans="8:13" ht="12.75">
      <c r="H115" s="22"/>
      <c r="M115" s="22"/>
    </row>
    <row r="116" spans="2:28" ht="27" customHeight="1">
      <c r="B116" s="971" t="s">
        <v>500</v>
      </c>
      <c r="C116" s="994"/>
      <c r="D116" s="994"/>
      <c r="E116" s="146"/>
      <c r="F116" s="114"/>
      <c r="G116" s="240">
        <v>0</v>
      </c>
      <c r="H116" s="146"/>
      <c r="I116" s="22"/>
      <c r="J116" s="22"/>
      <c r="K116" s="114"/>
      <c r="L116" s="240">
        <f>ROUND(+L65*'Disinfection of wheelie bins'!$L$28,-3)</f>
        <v>107000</v>
      </c>
      <c r="M116" s="146"/>
      <c r="N116" s="22"/>
      <c r="O116" s="114"/>
      <c r="P116" s="240">
        <f>ROUND(+P65*'Disinfection of wheelie bins'!$L$29,-3)</f>
        <v>80000</v>
      </c>
      <c r="S116" s="114"/>
      <c r="T116" s="240">
        <f>ROUND(+T65*'Disinfection of wheelie bins'!$L$29,-3)</f>
        <v>94000</v>
      </c>
      <c r="X116" s="240">
        <f>ROUND(+(X58+X59)*'Disinfection of wheelie bins'!$L$27,-3)</f>
        <v>212000</v>
      </c>
      <c r="AB116" s="240">
        <f>ROUND(+(AB58+AB59)*'Disinfection of wheelie bins'!$L$27,-3)</f>
        <v>212000</v>
      </c>
    </row>
    <row r="117" spans="1:13" ht="18.75" customHeight="1">
      <c r="A117" s="188"/>
      <c r="B117" s="188"/>
      <c r="H117" s="22"/>
      <c r="M117" s="22"/>
    </row>
    <row r="118" spans="1:13" ht="15.75">
      <c r="A118" s="28" t="s">
        <v>159</v>
      </c>
      <c r="H118" s="22"/>
      <c r="M118" s="22"/>
    </row>
    <row r="119" spans="8:13" ht="12.75">
      <c r="H119" s="22"/>
      <c r="M119" s="22"/>
    </row>
    <row r="120" spans="1:28" ht="18.75" customHeight="1">
      <c r="A120" s="957" t="s">
        <v>160</v>
      </c>
      <c r="B120" s="958"/>
      <c r="C120" s="958"/>
      <c r="D120" s="959"/>
      <c r="E120" s="158" t="s">
        <v>156</v>
      </c>
      <c r="F120" s="159" t="s">
        <v>158</v>
      </c>
      <c r="G120" s="160" t="s">
        <v>157</v>
      </c>
      <c r="H120" s="22"/>
      <c r="I120" s="147" t="s">
        <v>156</v>
      </c>
      <c r="J120" s="29"/>
      <c r="K120" s="158" t="s">
        <v>158</v>
      </c>
      <c r="L120" s="160" t="s">
        <v>157</v>
      </c>
      <c r="M120" s="22"/>
      <c r="N120" s="158" t="s">
        <v>156</v>
      </c>
      <c r="O120" s="159" t="s">
        <v>158</v>
      </c>
      <c r="P120" s="160" t="s">
        <v>157</v>
      </c>
      <c r="R120" s="158" t="s">
        <v>156</v>
      </c>
      <c r="S120" s="159" t="s">
        <v>158</v>
      </c>
      <c r="T120" s="160" t="s">
        <v>157</v>
      </c>
      <c r="V120" s="158" t="s">
        <v>156</v>
      </c>
      <c r="W120" s="159" t="s">
        <v>158</v>
      </c>
      <c r="X120" s="160" t="s">
        <v>157</v>
      </c>
      <c r="Z120" s="158" t="s">
        <v>156</v>
      </c>
      <c r="AA120" s="159" t="s">
        <v>158</v>
      </c>
      <c r="AB120" s="160" t="s">
        <v>157</v>
      </c>
    </row>
    <row r="121" spans="1:28" ht="66" customHeight="1">
      <c r="A121" s="962" t="s">
        <v>161</v>
      </c>
      <c r="B121" s="962"/>
      <c r="C121" s="7" t="s">
        <v>190</v>
      </c>
      <c r="D121" s="169" t="s">
        <v>191</v>
      </c>
      <c r="E121" s="957" t="s">
        <v>167</v>
      </c>
      <c r="F121" s="958"/>
      <c r="G121" s="959"/>
      <c r="H121" s="22"/>
      <c r="I121" s="957" t="s">
        <v>167</v>
      </c>
      <c r="J121" s="958"/>
      <c r="K121" s="958"/>
      <c r="L121" s="959"/>
      <c r="M121" s="22"/>
      <c r="N121" s="957" t="s">
        <v>167</v>
      </c>
      <c r="O121" s="958"/>
      <c r="P121" s="959"/>
      <c r="R121" s="957" t="s">
        <v>167</v>
      </c>
      <c r="S121" s="958"/>
      <c r="T121" s="959"/>
      <c r="V121" s="957" t="s">
        <v>167</v>
      </c>
      <c r="W121" s="958"/>
      <c r="X121" s="959"/>
      <c r="Z121" s="957" t="s">
        <v>167</v>
      </c>
      <c r="AA121" s="958"/>
      <c r="AB121" s="959"/>
    </row>
    <row r="122" spans="1:28" ht="18.75" customHeight="1">
      <c r="A122" s="1006">
        <v>1</v>
      </c>
      <c r="B122" s="1006"/>
      <c r="C122" s="152">
        <f>ROUND(+G$10*12/(1000*A122),-2)</f>
        <v>9900</v>
      </c>
      <c r="D122" s="152">
        <f>+'Treatment Scenario Costs'!$D$9</f>
        <v>19700</v>
      </c>
      <c r="E122" s="153">
        <f>+'Treatment Scenario Costs'!I22</f>
        <v>0.87</v>
      </c>
      <c r="F122" s="153">
        <f>+'Treatment Scenario Costs'!N22</f>
        <v>0.9400000000000001</v>
      </c>
      <c r="G122" s="153">
        <f>+'Treatment Scenario Costs'!D22</f>
        <v>1.67</v>
      </c>
      <c r="H122" s="22"/>
      <c r="I122" s="153">
        <f>+E122</f>
        <v>0.87</v>
      </c>
      <c r="J122" s="965"/>
      <c r="K122" s="153">
        <f aca="true" t="shared" si="2" ref="K122:L125">+F122</f>
        <v>0.9400000000000001</v>
      </c>
      <c r="L122" s="153">
        <f t="shared" si="2"/>
        <v>1.67</v>
      </c>
      <c r="M122" s="22"/>
      <c r="N122" s="153">
        <f>+$E122</f>
        <v>0.87</v>
      </c>
      <c r="O122" s="153">
        <f>+$F122</f>
        <v>0.9400000000000001</v>
      </c>
      <c r="P122" s="153">
        <f>+$G122</f>
        <v>1.67</v>
      </c>
      <c r="R122" s="153">
        <f>+$E122</f>
        <v>0.87</v>
      </c>
      <c r="S122" s="153">
        <f>+$F122</f>
        <v>0.9400000000000001</v>
      </c>
      <c r="T122" s="153">
        <f>+$G122</f>
        <v>1.67</v>
      </c>
      <c r="V122" s="153">
        <f>+$E122</f>
        <v>0.87</v>
      </c>
      <c r="W122" s="153">
        <f>+$F122</f>
        <v>0.9400000000000001</v>
      </c>
      <c r="X122" s="153">
        <f>+$G122</f>
        <v>1.67</v>
      </c>
      <c r="Z122" s="153">
        <f>+$E122</f>
        <v>0.87</v>
      </c>
      <c r="AA122" s="153">
        <f>+$F122</f>
        <v>0.9400000000000001</v>
      </c>
      <c r="AB122" s="153">
        <f>+$G122</f>
        <v>1.67</v>
      </c>
    </row>
    <row r="123" spans="1:28" ht="18.75" customHeight="1">
      <c r="A123" s="976">
        <v>3</v>
      </c>
      <c r="B123" s="976"/>
      <c r="C123" s="152">
        <f>ROUND(+G$10*12/(1000*A123),-2)</f>
        <v>3300</v>
      </c>
      <c r="D123" s="152">
        <f>+'Treatment Scenario Costs'!$E$9</f>
        <v>4400</v>
      </c>
      <c r="E123" s="153">
        <f>+'Treatment Scenario Costs'!J22</f>
        <v>1.36</v>
      </c>
      <c r="F123" s="153">
        <f>+'Treatment Scenario Costs'!O22</f>
        <v>1.43</v>
      </c>
      <c r="G123" s="153">
        <f>+'Treatment Scenario Costs'!E22</f>
        <v>1.68</v>
      </c>
      <c r="H123" s="22"/>
      <c r="I123" s="153">
        <f>+E123</f>
        <v>1.36</v>
      </c>
      <c r="J123" s="966"/>
      <c r="K123" s="153">
        <f t="shared" si="2"/>
        <v>1.43</v>
      </c>
      <c r="L123" s="153">
        <f t="shared" si="2"/>
        <v>1.68</v>
      </c>
      <c r="M123" s="22"/>
      <c r="N123" s="153">
        <f>+$E123</f>
        <v>1.36</v>
      </c>
      <c r="O123" s="153">
        <f>+$F123</f>
        <v>1.43</v>
      </c>
      <c r="P123" s="153">
        <f>+$G123</f>
        <v>1.68</v>
      </c>
      <c r="R123" s="153">
        <f>+$E123</f>
        <v>1.36</v>
      </c>
      <c r="S123" s="153">
        <f>+$F123</f>
        <v>1.43</v>
      </c>
      <c r="T123" s="153">
        <f>+$G123</f>
        <v>1.68</v>
      </c>
      <c r="V123" s="153">
        <f>+$E123</f>
        <v>1.36</v>
      </c>
      <c r="W123" s="153">
        <f>+$F123</f>
        <v>1.43</v>
      </c>
      <c r="X123" s="153">
        <f>+$G123</f>
        <v>1.68</v>
      </c>
      <c r="Z123" s="153">
        <f>+$E123</f>
        <v>1.36</v>
      </c>
      <c r="AA123" s="153">
        <f>+$F123</f>
        <v>1.43</v>
      </c>
      <c r="AB123" s="153">
        <f>+$G123</f>
        <v>1.68</v>
      </c>
    </row>
    <row r="124" spans="1:28" ht="18.75" customHeight="1">
      <c r="A124" s="976">
        <v>10</v>
      </c>
      <c r="B124" s="976"/>
      <c r="C124" s="152">
        <f>ROUND(+G$10*12/(1000*A124),-2)</f>
        <v>1000</v>
      </c>
      <c r="D124" s="152">
        <f>+'Treatment Scenario Costs'!$F$9</f>
        <v>1200</v>
      </c>
      <c r="E124" s="153">
        <f>+'Treatment Scenario Costs'!K22</f>
        <v>2.78</v>
      </c>
      <c r="F124" s="153">
        <f>+'Treatment Scenario Costs'!P22</f>
        <v>2.94</v>
      </c>
      <c r="G124" s="153">
        <f>+'Treatment Scenario Costs'!F22</f>
        <v>2.86</v>
      </c>
      <c r="H124" s="22"/>
      <c r="I124" s="153">
        <f>+E124</f>
        <v>2.78</v>
      </c>
      <c r="J124" s="966"/>
      <c r="K124" s="153">
        <f t="shared" si="2"/>
        <v>2.94</v>
      </c>
      <c r="L124" s="153">
        <f t="shared" si="2"/>
        <v>2.86</v>
      </c>
      <c r="M124" s="22"/>
      <c r="N124" s="153">
        <f>+$E124</f>
        <v>2.78</v>
      </c>
      <c r="O124" s="153">
        <f>+$F124</f>
        <v>2.94</v>
      </c>
      <c r="P124" s="153">
        <f>+$G124</f>
        <v>2.86</v>
      </c>
      <c r="R124" s="153">
        <f>+$E124</f>
        <v>2.78</v>
      </c>
      <c r="S124" s="153">
        <f>+$F124</f>
        <v>2.94</v>
      </c>
      <c r="T124" s="153">
        <f>+$G124</f>
        <v>2.86</v>
      </c>
      <c r="V124" s="153">
        <f>+$E124</f>
        <v>2.78</v>
      </c>
      <c r="W124" s="153">
        <f>+$F124</f>
        <v>2.94</v>
      </c>
      <c r="X124" s="153">
        <f>+$G124</f>
        <v>2.86</v>
      </c>
      <c r="Z124" s="153">
        <f>+$E124</f>
        <v>2.78</v>
      </c>
      <c r="AA124" s="153">
        <f>+$F124</f>
        <v>2.94</v>
      </c>
      <c r="AB124" s="153">
        <f>+$G124</f>
        <v>2.86</v>
      </c>
    </row>
    <row r="125" spans="1:28" ht="18.75" customHeight="1">
      <c r="A125" s="976">
        <v>20</v>
      </c>
      <c r="B125" s="976"/>
      <c r="C125" s="152">
        <f>ROUND(+G$10*12/(1000*A125),-1)</f>
        <v>490</v>
      </c>
      <c r="D125" s="152">
        <f>+'Treatment Scenario Costs'!$G$9</f>
        <v>600</v>
      </c>
      <c r="E125" s="153">
        <f>+'Treatment Scenario Costs'!L22</f>
        <v>4.609999999999999</v>
      </c>
      <c r="F125" s="153">
        <f>+'Treatment Scenario Costs'!Q22</f>
        <v>5.029999999999999</v>
      </c>
      <c r="G125" s="153">
        <f>+'Treatment Scenario Costs'!G22</f>
        <v>4.68</v>
      </c>
      <c r="H125" s="22"/>
      <c r="I125" s="153">
        <f>+E125</f>
        <v>4.609999999999999</v>
      </c>
      <c r="J125" s="967"/>
      <c r="K125" s="153">
        <f t="shared" si="2"/>
        <v>5.029999999999999</v>
      </c>
      <c r="L125" s="153">
        <f t="shared" si="2"/>
        <v>4.68</v>
      </c>
      <c r="M125" s="22"/>
      <c r="N125" s="153">
        <f>+$E125</f>
        <v>4.609999999999999</v>
      </c>
      <c r="O125" s="153">
        <f>+$F125</f>
        <v>5.029999999999999</v>
      </c>
      <c r="P125" s="153">
        <f>+$G125</f>
        <v>4.68</v>
      </c>
      <c r="R125" s="153">
        <f>+$E125</f>
        <v>4.609999999999999</v>
      </c>
      <c r="S125" s="153">
        <f>+$F125</f>
        <v>5.029999999999999</v>
      </c>
      <c r="T125" s="153">
        <f>+$G125</f>
        <v>4.68</v>
      </c>
      <c r="V125" s="153">
        <f>+$E125</f>
        <v>4.609999999999999</v>
      </c>
      <c r="W125" s="153">
        <f>+$F125</f>
        <v>5.029999999999999</v>
      </c>
      <c r="X125" s="153">
        <f>+$G125</f>
        <v>4.68</v>
      </c>
      <c r="Z125" s="153">
        <f>+$E125</f>
        <v>4.609999999999999</v>
      </c>
      <c r="AA125" s="153">
        <f>+$F125</f>
        <v>5.029999999999999</v>
      </c>
      <c r="AB125" s="153">
        <f>+$G125</f>
        <v>4.68</v>
      </c>
    </row>
    <row r="126" spans="1:28" ht="27.75" customHeight="1">
      <c r="A126" s="1004"/>
      <c r="B126" s="1004"/>
      <c r="C126" s="180"/>
      <c r="D126" s="181"/>
      <c r="E126" s="943" t="s">
        <v>168</v>
      </c>
      <c r="F126" s="944"/>
      <c r="G126" s="945"/>
      <c r="H126" s="22"/>
      <c r="I126" s="943" t="s">
        <v>168</v>
      </c>
      <c r="J126" s="944"/>
      <c r="K126" s="944"/>
      <c r="L126" s="945"/>
      <c r="M126" s="22"/>
      <c r="N126" s="943" t="s">
        <v>168</v>
      </c>
      <c r="O126" s="944"/>
      <c r="P126" s="945"/>
      <c r="R126" s="943" t="s">
        <v>168</v>
      </c>
      <c r="S126" s="944"/>
      <c r="T126" s="945"/>
      <c r="V126" s="943" t="s">
        <v>168</v>
      </c>
      <c r="W126" s="944"/>
      <c r="X126" s="945"/>
      <c r="Z126" s="943" t="s">
        <v>168</v>
      </c>
      <c r="AA126" s="944"/>
      <c r="AB126" s="945"/>
    </row>
    <row r="127" spans="1:28" ht="18.75" customHeight="1">
      <c r="A127" s="1010">
        <v>1</v>
      </c>
      <c r="B127" s="1011"/>
      <c r="C127" s="6"/>
      <c r="D127" s="6"/>
      <c r="E127" s="154">
        <f aca="true" t="shared" si="3" ref="E127:G130">ROUND(+E122*($G$10+$G$54*$L$7+$G$61*$L$8),-3)</f>
        <v>766000</v>
      </c>
      <c r="F127" s="154">
        <f t="shared" si="3"/>
        <v>827000</v>
      </c>
      <c r="G127" s="154">
        <f t="shared" si="3"/>
        <v>1470000</v>
      </c>
      <c r="H127" s="151"/>
      <c r="I127" s="154">
        <f>ROUND(+I122*$G$10,-3)</f>
        <v>716000</v>
      </c>
      <c r="J127" s="968"/>
      <c r="K127" s="154">
        <f aca="true" t="shared" si="4" ref="K127:L130">ROUND(+K122*$G$10,-3)</f>
        <v>773000</v>
      </c>
      <c r="L127" s="154">
        <f t="shared" si="4"/>
        <v>1374000</v>
      </c>
      <c r="M127" s="22"/>
      <c r="N127" s="154">
        <f aca="true" t="shared" si="5" ref="N127:P130">ROUND(+N122*$G$10,-3)</f>
        <v>716000</v>
      </c>
      <c r="O127" s="154">
        <f t="shared" si="5"/>
        <v>773000</v>
      </c>
      <c r="P127" s="154">
        <f t="shared" si="5"/>
        <v>1374000</v>
      </c>
      <c r="R127" s="154">
        <f aca="true" t="shared" si="6" ref="R127:T130">ROUND(+R122*$G$10,-3)</f>
        <v>716000</v>
      </c>
      <c r="S127" s="154">
        <f t="shared" si="6"/>
        <v>773000</v>
      </c>
      <c r="T127" s="154">
        <f t="shared" si="6"/>
        <v>1374000</v>
      </c>
      <c r="V127" s="154">
        <f aca="true" t="shared" si="7" ref="V127:X130">ROUND(+V122*$G$10,-3)</f>
        <v>716000</v>
      </c>
      <c r="W127" s="154">
        <f t="shared" si="7"/>
        <v>773000</v>
      </c>
      <c r="X127" s="154">
        <f t="shared" si="7"/>
        <v>1374000</v>
      </c>
      <c r="Z127" s="154">
        <f aca="true" t="shared" si="8" ref="Z127:AB130">ROUND(+Z122*$G$10,-3)</f>
        <v>716000</v>
      </c>
      <c r="AA127" s="154">
        <f t="shared" si="8"/>
        <v>773000</v>
      </c>
      <c r="AB127" s="154">
        <f t="shared" si="8"/>
        <v>1374000</v>
      </c>
    </row>
    <row r="128" spans="1:28" ht="18.75" customHeight="1">
      <c r="A128" s="1002">
        <v>3</v>
      </c>
      <c r="B128" s="1003"/>
      <c r="C128" s="29"/>
      <c r="D128" s="29"/>
      <c r="E128" s="154">
        <f t="shared" si="3"/>
        <v>1197000</v>
      </c>
      <c r="F128" s="154">
        <f t="shared" si="3"/>
        <v>1258000</v>
      </c>
      <c r="G128" s="154">
        <f t="shared" si="3"/>
        <v>1478000</v>
      </c>
      <c r="H128" s="151"/>
      <c r="I128" s="154">
        <f>ROUND(+I123*$G$10,-3)</f>
        <v>1119000</v>
      </c>
      <c r="J128" s="969"/>
      <c r="K128" s="154">
        <f t="shared" si="4"/>
        <v>1176000</v>
      </c>
      <c r="L128" s="154">
        <f t="shared" si="4"/>
        <v>1382000</v>
      </c>
      <c r="M128" s="22"/>
      <c r="N128" s="154">
        <f t="shared" si="5"/>
        <v>1119000</v>
      </c>
      <c r="O128" s="154">
        <f t="shared" si="5"/>
        <v>1176000</v>
      </c>
      <c r="P128" s="154">
        <f t="shared" si="5"/>
        <v>1382000</v>
      </c>
      <c r="R128" s="154">
        <f t="shared" si="6"/>
        <v>1119000</v>
      </c>
      <c r="S128" s="154">
        <f t="shared" si="6"/>
        <v>1176000</v>
      </c>
      <c r="T128" s="154">
        <f t="shared" si="6"/>
        <v>1382000</v>
      </c>
      <c r="V128" s="154">
        <f t="shared" si="7"/>
        <v>1119000</v>
      </c>
      <c r="W128" s="154">
        <f t="shared" si="7"/>
        <v>1176000</v>
      </c>
      <c r="X128" s="154">
        <f t="shared" si="7"/>
        <v>1382000</v>
      </c>
      <c r="Z128" s="154">
        <f t="shared" si="8"/>
        <v>1119000</v>
      </c>
      <c r="AA128" s="154">
        <f t="shared" si="8"/>
        <v>1176000</v>
      </c>
      <c r="AB128" s="154">
        <f t="shared" si="8"/>
        <v>1382000</v>
      </c>
    </row>
    <row r="129" spans="1:28" ht="18.75" customHeight="1">
      <c r="A129" s="1002">
        <v>10</v>
      </c>
      <c r="B129" s="1003"/>
      <c r="C129" s="29"/>
      <c r="D129" s="29"/>
      <c r="E129" s="154">
        <f t="shared" si="3"/>
        <v>2447000</v>
      </c>
      <c r="F129" s="154">
        <f t="shared" si="3"/>
        <v>2587000</v>
      </c>
      <c r="G129" s="154">
        <f t="shared" si="3"/>
        <v>2517000</v>
      </c>
      <c r="H129" s="151"/>
      <c r="I129" s="154">
        <f>ROUND(+I124*$G$10,-3)</f>
        <v>2287000</v>
      </c>
      <c r="J129" s="969"/>
      <c r="K129" s="154">
        <f t="shared" si="4"/>
        <v>2418000</v>
      </c>
      <c r="L129" s="154">
        <f t="shared" si="4"/>
        <v>2352000</v>
      </c>
      <c r="M129" s="22"/>
      <c r="N129" s="154">
        <f t="shared" si="5"/>
        <v>2287000</v>
      </c>
      <c r="O129" s="154">
        <f t="shared" si="5"/>
        <v>2418000</v>
      </c>
      <c r="P129" s="154">
        <f t="shared" si="5"/>
        <v>2352000</v>
      </c>
      <c r="R129" s="154">
        <f t="shared" si="6"/>
        <v>2287000</v>
      </c>
      <c r="S129" s="154">
        <f t="shared" si="6"/>
        <v>2418000</v>
      </c>
      <c r="T129" s="154">
        <f t="shared" si="6"/>
        <v>2352000</v>
      </c>
      <c r="V129" s="154">
        <f t="shared" si="7"/>
        <v>2287000</v>
      </c>
      <c r="W129" s="154">
        <f t="shared" si="7"/>
        <v>2418000</v>
      </c>
      <c r="X129" s="154">
        <f t="shared" si="7"/>
        <v>2352000</v>
      </c>
      <c r="Z129" s="154">
        <f t="shared" si="8"/>
        <v>2287000</v>
      </c>
      <c r="AA129" s="154">
        <f t="shared" si="8"/>
        <v>2418000</v>
      </c>
      <c r="AB129" s="154">
        <f t="shared" si="8"/>
        <v>2352000</v>
      </c>
    </row>
    <row r="130" spans="1:28" ht="18.75" customHeight="1">
      <c r="A130" s="1002">
        <v>20</v>
      </c>
      <c r="B130" s="1003"/>
      <c r="C130" s="29"/>
      <c r="D130" s="29"/>
      <c r="E130" s="154">
        <f t="shared" si="3"/>
        <v>4057000</v>
      </c>
      <c r="F130" s="154">
        <f t="shared" si="3"/>
        <v>4427000</v>
      </c>
      <c r="G130" s="154">
        <f t="shared" si="3"/>
        <v>4119000</v>
      </c>
      <c r="H130" s="151"/>
      <c r="I130" s="154">
        <f>ROUND(+I125*$G$10,-3)</f>
        <v>3792000</v>
      </c>
      <c r="J130" s="970"/>
      <c r="K130" s="154">
        <f t="shared" si="4"/>
        <v>4137000</v>
      </c>
      <c r="L130" s="154">
        <f t="shared" si="4"/>
        <v>3849000</v>
      </c>
      <c r="M130" s="22"/>
      <c r="N130" s="154">
        <f t="shared" si="5"/>
        <v>3792000</v>
      </c>
      <c r="O130" s="154">
        <f t="shared" si="5"/>
        <v>4137000</v>
      </c>
      <c r="P130" s="154">
        <f t="shared" si="5"/>
        <v>3849000</v>
      </c>
      <c r="R130" s="154">
        <f t="shared" si="6"/>
        <v>3792000</v>
      </c>
      <c r="S130" s="154">
        <f t="shared" si="6"/>
        <v>4137000</v>
      </c>
      <c r="T130" s="154">
        <f t="shared" si="6"/>
        <v>3849000</v>
      </c>
      <c r="V130" s="154">
        <f t="shared" si="7"/>
        <v>3792000</v>
      </c>
      <c r="W130" s="154">
        <f t="shared" si="7"/>
        <v>4137000</v>
      </c>
      <c r="X130" s="154">
        <f t="shared" si="7"/>
        <v>3849000</v>
      </c>
      <c r="Z130" s="154">
        <f t="shared" si="8"/>
        <v>3792000</v>
      </c>
      <c r="AA130" s="154">
        <f t="shared" si="8"/>
        <v>4137000</v>
      </c>
      <c r="AB130" s="154">
        <f t="shared" si="8"/>
        <v>3849000</v>
      </c>
    </row>
    <row r="131" ht="21.75" customHeight="1"/>
    <row r="132" ht="23.25" customHeight="1"/>
    <row r="133" spans="1:28" ht="47.25" customHeight="1">
      <c r="A133" s="973" t="s">
        <v>162</v>
      </c>
      <c r="B133" s="974"/>
      <c r="C133" s="974"/>
      <c r="D133" s="975"/>
      <c r="E133" s="946" t="s">
        <v>156</v>
      </c>
      <c r="F133" s="948" t="s">
        <v>158</v>
      </c>
      <c r="G133" s="950" t="s">
        <v>157</v>
      </c>
      <c r="H133" s="22"/>
      <c r="I133" s="1008" t="s">
        <v>156</v>
      </c>
      <c r="J133" s="963"/>
      <c r="K133" s="946" t="s">
        <v>158</v>
      </c>
      <c r="L133" s="950" t="s">
        <v>157</v>
      </c>
      <c r="M133" s="22"/>
      <c r="N133" s="946" t="s">
        <v>156</v>
      </c>
      <c r="O133" s="948" t="s">
        <v>158</v>
      </c>
      <c r="P133" s="950" t="s">
        <v>157</v>
      </c>
      <c r="R133" s="946" t="s">
        <v>156</v>
      </c>
      <c r="S133" s="948" t="s">
        <v>158</v>
      </c>
      <c r="T133" s="950" t="s">
        <v>157</v>
      </c>
      <c r="V133" s="946" t="s">
        <v>156</v>
      </c>
      <c r="W133" s="948" t="s">
        <v>158</v>
      </c>
      <c r="X133" s="950" t="s">
        <v>157</v>
      </c>
      <c r="Z133" s="946" t="s">
        <v>156</v>
      </c>
      <c r="AA133" s="948" t="s">
        <v>158</v>
      </c>
      <c r="AB133" s="950" t="s">
        <v>157</v>
      </c>
    </row>
    <row r="134" spans="1:28" ht="45" customHeight="1">
      <c r="A134" s="971" t="s">
        <v>161</v>
      </c>
      <c r="B134" s="972"/>
      <c r="C134" s="40"/>
      <c r="D134" s="170"/>
      <c r="E134" s="947"/>
      <c r="F134" s="949"/>
      <c r="G134" s="951"/>
      <c r="H134" s="22"/>
      <c r="I134" s="1009"/>
      <c r="J134" s="964"/>
      <c r="K134" s="947"/>
      <c r="L134" s="951"/>
      <c r="M134" s="22"/>
      <c r="N134" s="947"/>
      <c r="O134" s="949"/>
      <c r="P134" s="951"/>
      <c r="R134" s="947"/>
      <c r="S134" s="949"/>
      <c r="T134" s="951"/>
      <c r="V134" s="947"/>
      <c r="W134" s="949"/>
      <c r="X134" s="951"/>
      <c r="Z134" s="947"/>
      <c r="AA134" s="949"/>
      <c r="AB134" s="951"/>
    </row>
    <row r="135" spans="1:28" ht="23.25" customHeight="1">
      <c r="A135" s="224">
        <v>1</v>
      </c>
      <c r="B135" s="225"/>
      <c r="C135" s="40"/>
      <c r="D135" s="170"/>
      <c r="E135" s="154">
        <f>ROUND(+$G$103+$G108+$G$116+E127,-3)</f>
        <v>3257000</v>
      </c>
      <c r="F135" s="154">
        <f>ROUND(+$G$103+$G108+$G$116+F127,-3)</f>
        <v>3318000</v>
      </c>
      <c r="G135" s="154">
        <f aca="true" t="shared" si="9" ref="E135:G138">ROUND(+$G$103+$G108+$G$116+G127,-3)</f>
        <v>3961000</v>
      </c>
      <c r="H135" s="155"/>
      <c r="I135" s="154">
        <f>ROUND(+$L$103+$L108+$L$116+I127,-3)</f>
        <v>3439000</v>
      </c>
      <c r="J135" s="156"/>
      <c r="K135" s="154">
        <f aca="true" t="shared" si="10" ref="K135:L138">ROUND(+$L$103+$L108+$L$116+K127,-3)</f>
        <v>3496000</v>
      </c>
      <c r="L135" s="154">
        <f t="shared" si="10"/>
        <v>4097000</v>
      </c>
      <c r="M135" s="157"/>
      <c r="N135" s="154">
        <f aca="true" t="shared" si="11" ref="N135:P138">ROUND(+$P$103+$P108+$P$116+N127,-3)</f>
        <v>2848000</v>
      </c>
      <c r="O135" s="154">
        <f t="shared" si="11"/>
        <v>2905000</v>
      </c>
      <c r="P135" s="154">
        <f t="shared" si="11"/>
        <v>3506000</v>
      </c>
      <c r="Q135" s="226">
        <f>'Status quo costs All Facilities'!$G$47</f>
        <v>3695000</v>
      </c>
      <c r="R135" s="154">
        <f aca="true" t="shared" si="12" ref="R135:T136">ROUND(+$T$103+$T108+$T$116+R127,-3)</f>
        <v>3090000</v>
      </c>
      <c r="S135" s="154">
        <f t="shared" si="12"/>
        <v>3147000</v>
      </c>
      <c r="T135" s="154">
        <f t="shared" si="12"/>
        <v>3748000</v>
      </c>
      <c r="U135" s="226"/>
      <c r="V135" s="154">
        <f>ROUND(+X$103+X108+X$116+V127,-3)</f>
        <v>3495000</v>
      </c>
      <c r="W135" s="154">
        <f>ROUND(+X$103+X108+X$116+W127,-3)</f>
        <v>3552000</v>
      </c>
      <c r="X135" s="154">
        <f>ROUND(+X$103+X108+X$116+X127,-3)</f>
        <v>4153000</v>
      </c>
      <c r="Z135" s="154">
        <f>ROUND(+AB$103+AB108+AB$116+Z127,-3)</f>
        <v>3190000</v>
      </c>
      <c r="AA135" s="154">
        <f>ROUND(+AB$103+AB108+AB$116+AA127,-3)</f>
        <v>3247000</v>
      </c>
      <c r="AB135" s="154">
        <f>ROUND(+AB$103+AB108+AB$116+AB127,-3)</f>
        <v>3848000</v>
      </c>
    </row>
    <row r="136" spans="1:28" ht="18.75" customHeight="1">
      <c r="A136" s="189">
        <v>3</v>
      </c>
      <c r="B136" s="190"/>
      <c r="C136" s="168"/>
      <c r="D136" s="171"/>
      <c r="E136" s="154">
        <f t="shared" si="9"/>
        <v>3561000</v>
      </c>
      <c r="F136" s="154">
        <f t="shared" si="9"/>
        <v>3622000</v>
      </c>
      <c r="G136" s="154">
        <f t="shared" si="9"/>
        <v>3842000</v>
      </c>
      <c r="H136" s="155"/>
      <c r="I136" s="154">
        <f>ROUND(+$L$103+$L109+$L$116+I128,-3)</f>
        <v>3664000</v>
      </c>
      <c r="J136" s="156"/>
      <c r="K136" s="154">
        <f t="shared" si="10"/>
        <v>3721000</v>
      </c>
      <c r="L136" s="154">
        <f t="shared" si="10"/>
        <v>3927000</v>
      </c>
      <c r="M136" s="157"/>
      <c r="N136" s="154">
        <f t="shared" si="11"/>
        <v>3135000</v>
      </c>
      <c r="O136" s="154">
        <f t="shared" si="11"/>
        <v>3192000</v>
      </c>
      <c r="P136" s="154">
        <f t="shared" si="11"/>
        <v>3398000</v>
      </c>
      <c r="Q136" s="226">
        <f>'Status quo costs All Facilities'!$G$47</f>
        <v>3695000</v>
      </c>
      <c r="R136" s="154">
        <f t="shared" si="12"/>
        <v>3357000</v>
      </c>
      <c r="S136" s="154">
        <f t="shared" si="12"/>
        <v>3414000</v>
      </c>
      <c r="T136" s="154">
        <f t="shared" si="12"/>
        <v>3620000</v>
      </c>
      <c r="U136" s="226"/>
      <c r="V136" s="154">
        <f>ROUND(+X$103+X109+X$116+V128,-3)</f>
        <v>3677000</v>
      </c>
      <c r="W136" s="154">
        <f>ROUND(+X$103+X109+X$116+W128,-3)</f>
        <v>3734000</v>
      </c>
      <c r="X136" s="154">
        <f>ROUND(+X$103+X109+X$116+X128,-3)</f>
        <v>3940000</v>
      </c>
      <c r="Z136" s="154">
        <f>ROUND(+AB$103+AB109+AB$116+Z128,-3)</f>
        <v>3502000</v>
      </c>
      <c r="AA136" s="154">
        <f>ROUND(+AB$103+AB109+AB$116+AA128,-3)</f>
        <v>3559000</v>
      </c>
      <c r="AB136" s="154">
        <f>ROUND(+AB$103+AB109+AB$116+AB128,-3)</f>
        <v>3765000</v>
      </c>
    </row>
    <row r="137" spans="1:28" ht="18.75" customHeight="1">
      <c r="A137" s="189">
        <v>10</v>
      </c>
      <c r="B137" s="190"/>
      <c r="C137" s="168"/>
      <c r="D137" s="171"/>
      <c r="E137" s="154">
        <f>ROUND(+$G$103+$G110+$G$116+E129,-3)</f>
        <v>4653000</v>
      </c>
      <c r="F137" s="154">
        <f t="shared" si="9"/>
        <v>4793000</v>
      </c>
      <c r="G137" s="154">
        <f t="shared" si="9"/>
        <v>4723000</v>
      </c>
      <c r="H137" s="155"/>
      <c r="I137" s="154">
        <f>ROUND(+$L$103+$L110+$L$116+I129,-3)</f>
        <v>4606000</v>
      </c>
      <c r="J137" s="156"/>
      <c r="K137" s="154">
        <f t="shared" si="10"/>
        <v>4737000</v>
      </c>
      <c r="L137" s="154">
        <f t="shared" si="10"/>
        <v>4671000</v>
      </c>
      <c r="M137" s="157"/>
      <c r="N137" s="154">
        <f t="shared" si="11"/>
        <v>4157000</v>
      </c>
      <c r="O137" s="154">
        <f t="shared" si="11"/>
        <v>4288000</v>
      </c>
      <c r="P137" s="154">
        <f t="shared" si="11"/>
        <v>4222000</v>
      </c>
      <c r="Q137" s="226">
        <f>'Status quo costs All Facilities'!$G$47</f>
        <v>3695000</v>
      </c>
      <c r="R137" s="154">
        <f aca="true" t="shared" si="13" ref="R137:T138">ROUND(+$T$103+$T110+$T$116+R129,-3)</f>
        <v>4353000</v>
      </c>
      <c r="S137" s="154">
        <f t="shared" si="13"/>
        <v>4484000</v>
      </c>
      <c r="T137" s="154">
        <f t="shared" si="13"/>
        <v>4418000</v>
      </c>
      <c r="U137" s="226"/>
      <c r="V137" s="154">
        <f>ROUND(+X$103+X110+X$116+V129,-3)</f>
        <v>4565000</v>
      </c>
      <c r="W137" s="154">
        <f>ROUND(+X$103+X110+X$116+W129,-3)</f>
        <v>4696000</v>
      </c>
      <c r="X137" s="154">
        <f>ROUND(+X$103+X110+X$116+X129,-3)</f>
        <v>4630000</v>
      </c>
      <c r="Z137" s="154">
        <f>ROUND(+AB$103+AB110+AB$116+Z129,-3)</f>
        <v>4556000</v>
      </c>
      <c r="AA137" s="154">
        <f>ROUND(+AB$103+AB110+AB$116+AA129,-3)</f>
        <v>4687000</v>
      </c>
      <c r="AB137" s="154">
        <f>ROUND(+AB$103+AB110+AB$116+AB129,-3)</f>
        <v>4621000</v>
      </c>
    </row>
    <row r="138" spans="1:28" ht="19.5" customHeight="1">
      <c r="A138" s="189">
        <v>20</v>
      </c>
      <c r="B138" s="190"/>
      <c r="C138" s="168"/>
      <c r="D138" s="171"/>
      <c r="E138" s="154">
        <f t="shared" si="9"/>
        <v>6191000</v>
      </c>
      <c r="F138" s="154">
        <f t="shared" si="9"/>
        <v>6561000</v>
      </c>
      <c r="G138" s="154">
        <f t="shared" si="9"/>
        <v>6253000</v>
      </c>
      <c r="H138" s="155"/>
      <c r="I138" s="154">
        <f>ROUND(+$L$103+$L111+$L$116+I130,-3)</f>
        <v>6011000</v>
      </c>
      <c r="J138" s="156"/>
      <c r="K138" s="154">
        <f t="shared" si="10"/>
        <v>6356000</v>
      </c>
      <c r="L138" s="154">
        <f t="shared" si="10"/>
        <v>6068000</v>
      </c>
      <c r="M138" s="157"/>
      <c r="N138" s="154">
        <f t="shared" si="11"/>
        <v>5596000</v>
      </c>
      <c r="O138" s="154">
        <f t="shared" si="11"/>
        <v>5941000</v>
      </c>
      <c r="P138" s="154">
        <f t="shared" si="11"/>
        <v>5653000</v>
      </c>
      <c r="Q138" s="226">
        <f>'Status quo costs All Facilities'!$G$47</f>
        <v>3695000</v>
      </c>
      <c r="R138" s="154">
        <f t="shared" si="13"/>
        <v>5781000</v>
      </c>
      <c r="S138" s="154">
        <f t="shared" si="13"/>
        <v>6126000</v>
      </c>
      <c r="T138" s="154">
        <f t="shared" si="13"/>
        <v>5838000</v>
      </c>
      <c r="U138" s="226"/>
      <c r="V138" s="154">
        <f>ROUND(+X$103+X111+X$116+V130,-3)</f>
        <v>5945000</v>
      </c>
      <c r="W138" s="154">
        <f>ROUND(+X$103+X111+X$116+W130,-3)</f>
        <v>6290000</v>
      </c>
      <c r="X138" s="154">
        <f>ROUND(+X$103+X111+X$116+X130,-3)</f>
        <v>6002000</v>
      </c>
      <c r="Z138" s="154">
        <f>ROUND(+AB$103+AB111+AB$116+Z130,-3)</f>
        <v>6010000</v>
      </c>
      <c r="AA138" s="154">
        <f>ROUND(+AB$103+AB111+AB$116+AA130,-3)</f>
        <v>6355000</v>
      </c>
      <c r="AB138" s="154">
        <f>ROUND(+AB$103+AB111+AB$116+AB130,-3)</f>
        <v>6067000</v>
      </c>
    </row>
    <row r="139" spans="1:4" ht="12.75">
      <c r="A139" s="52"/>
      <c r="B139" s="52"/>
      <c r="C139" s="52"/>
      <c r="D139" s="52"/>
    </row>
    <row r="168" spans="10:16" ht="12.75">
      <c r="J168" s="822"/>
      <c r="K168" s="822"/>
      <c r="L168" s="822"/>
      <c r="M168" s="822"/>
      <c r="N168" s="822"/>
      <c r="O168" s="822"/>
      <c r="P168" s="822"/>
    </row>
    <row r="169" spans="10:16" ht="12.75">
      <c r="J169" s="822"/>
      <c r="K169" s="822"/>
      <c r="L169" s="822"/>
      <c r="M169" s="822"/>
      <c r="N169" s="822"/>
      <c r="O169" s="822"/>
      <c r="P169" s="822"/>
    </row>
    <row r="170" spans="10:16" ht="12.75">
      <c r="J170" s="822"/>
      <c r="K170" s="822"/>
      <c r="L170" s="822"/>
      <c r="M170" s="822"/>
      <c r="N170" s="822"/>
      <c r="O170" s="822"/>
      <c r="P170" s="822"/>
    </row>
    <row r="171" spans="10:16" ht="12.75">
      <c r="J171" s="822"/>
      <c r="K171" s="822"/>
      <c r="L171" s="822"/>
      <c r="M171" s="822"/>
      <c r="N171" s="822"/>
      <c r="O171" s="822"/>
      <c r="P171" s="822"/>
    </row>
    <row r="172" spans="10:16" ht="12.75">
      <c r="J172" s="822"/>
      <c r="K172" s="822"/>
      <c r="L172" s="822"/>
      <c r="M172" s="822"/>
      <c r="N172" s="822"/>
      <c r="O172" s="822"/>
      <c r="P172" s="822"/>
    </row>
    <row r="173" spans="10:16" ht="12.75">
      <c r="J173" s="822"/>
      <c r="K173" s="822"/>
      <c r="L173" s="822"/>
      <c r="M173" s="822"/>
      <c r="N173" s="822"/>
      <c r="O173" s="822"/>
      <c r="P173" s="822"/>
    </row>
    <row r="174" spans="10:16" ht="12.75">
      <c r="J174" s="822"/>
      <c r="K174" s="822"/>
      <c r="L174" s="822"/>
      <c r="M174" s="822"/>
      <c r="N174" s="822"/>
      <c r="O174" s="822"/>
      <c r="P174" s="822"/>
    </row>
    <row r="175" spans="10:16" ht="12.75">
      <c r="J175" s="822"/>
      <c r="K175" s="822"/>
      <c r="L175" s="822"/>
      <c r="M175" s="822"/>
      <c r="N175" s="822"/>
      <c r="O175" s="822"/>
      <c r="P175" s="822"/>
    </row>
    <row r="176" spans="10:16" ht="12.75">
      <c r="J176" s="822"/>
      <c r="K176" s="822"/>
      <c r="L176" s="822"/>
      <c r="M176" s="822"/>
      <c r="N176" s="822"/>
      <c r="O176" s="822"/>
      <c r="P176" s="822"/>
    </row>
    <row r="177" spans="10:16" ht="12.75">
      <c r="J177" s="822"/>
      <c r="K177" s="822"/>
      <c r="L177" s="822"/>
      <c r="M177" s="822"/>
      <c r="N177" s="822"/>
      <c r="O177" s="822"/>
      <c r="P177" s="822"/>
    </row>
    <row r="178" spans="10:16" ht="12.75">
      <c r="J178" s="822"/>
      <c r="K178" s="822"/>
      <c r="L178" s="822"/>
      <c r="M178" s="822"/>
      <c r="N178" s="822"/>
      <c r="O178" s="822"/>
      <c r="P178" s="822"/>
    </row>
    <row r="179" spans="10:16" ht="12.75">
      <c r="J179" s="822"/>
      <c r="K179" s="822"/>
      <c r="L179" s="822"/>
      <c r="M179" s="822"/>
      <c r="N179" s="822"/>
      <c r="O179" s="822"/>
      <c r="P179" s="822"/>
    </row>
    <row r="180" spans="10:16" ht="12.75">
      <c r="J180" s="822"/>
      <c r="K180" s="822"/>
      <c r="L180" s="822"/>
      <c r="M180" s="822"/>
      <c r="N180" s="822"/>
      <c r="O180" s="822"/>
      <c r="P180" s="822"/>
    </row>
    <row r="181" spans="10:16" ht="12.75">
      <c r="J181" s="822"/>
      <c r="K181" s="822"/>
      <c r="L181" s="822"/>
      <c r="M181" s="822"/>
      <c r="N181" s="822"/>
      <c r="O181" s="822"/>
      <c r="P181" s="822"/>
    </row>
    <row r="182" spans="10:16" ht="12.75">
      <c r="J182" s="822"/>
      <c r="K182" s="822"/>
      <c r="L182" s="822"/>
      <c r="M182" s="822"/>
      <c r="N182" s="822"/>
      <c r="O182" s="822"/>
      <c r="P182" s="822"/>
    </row>
    <row r="183" spans="10:16" ht="12.75">
      <c r="J183" s="822"/>
      <c r="K183" s="822"/>
      <c r="L183" s="822"/>
      <c r="M183" s="822"/>
      <c r="N183" s="822"/>
      <c r="O183" s="822"/>
      <c r="P183" s="822"/>
    </row>
    <row r="184" spans="10:16" ht="12.75">
      <c r="J184" s="822"/>
      <c r="K184" s="822"/>
      <c r="L184" s="822"/>
      <c r="M184" s="822"/>
      <c r="N184" s="822"/>
      <c r="O184" s="822"/>
      <c r="P184" s="822"/>
    </row>
    <row r="185" spans="10:16" ht="12.75">
      <c r="J185" s="822"/>
      <c r="K185" s="822"/>
      <c r="L185" s="822"/>
      <c r="M185" s="822"/>
      <c r="N185" s="822"/>
      <c r="O185" s="822"/>
      <c r="P185" s="822"/>
    </row>
    <row r="186" spans="10:16" ht="12.75">
      <c r="J186" s="822"/>
      <c r="K186" s="822"/>
      <c r="L186" s="822"/>
      <c r="M186" s="822"/>
      <c r="N186" s="822"/>
      <c r="O186" s="822"/>
      <c r="P186" s="822"/>
    </row>
    <row r="187" spans="10:16" ht="12.75">
      <c r="J187" s="822"/>
      <c r="K187" s="822"/>
      <c r="L187" s="822"/>
      <c r="M187" s="822"/>
      <c r="N187" s="822"/>
      <c r="O187" s="822"/>
      <c r="P187" s="822"/>
    </row>
    <row r="188" spans="10:16" ht="12.75">
      <c r="J188" s="822"/>
      <c r="K188" s="822"/>
      <c r="L188" s="822"/>
      <c r="M188" s="822"/>
      <c r="N188" s="822"/>
      <c r="O188" s="822"/>
      <c r="P188" s="822"/>
    </row>
    <row r="189" spans="10:16" ht="12.75">
      <c r="J189" s="822"/>
      <c r="K189" s="822"/>
      <c r="L189" s="822"/>
      <c r="M189" s="822"/>
      <c r="N189" s="822"/>
      <c r="O189" s="822"/>
      <c r="P189" s="822"/>
    </row>
    <row r="190" spans="10:16" ht="12.75">
      <c r="J190" s="822"/>
      <c r="K190" s="822"/>
      <c r="L190" s="822"/>
      <c r="M190" s="822"/>
      <c r="N190" s="822"/>
      <c r="O190" s="822"/>
      <c r="P190" s="822"/>
    </row>
    <row r="191" spans="10:16" ht="12.75">
      <c r="J191" s="822"/>
      <c r="K191" s="822"/>
      <c r="L191" s="822"/>
      <c r="M191" s="822"/>
      <c r="N191" s="822"/>
      <c r="O191" s="822"/>
      <c r="P191" s="822"/>
    </row>
    <row r="192" spans="10:16" ht="12.75">
      <c r="J192" s="822"/>
      <c r="K192" s="822"/>
      <c r="L192" s="822"/>
      <c r="M192" s="822"/>
      <c r="N192" s="822"/>
      <c r="O192" s="822"/>
      <c r="P192" s="822"/>
    </row>
  </sheetData>
  <sheetProtection password="C7CA" sheet="1" objects="1" scenarios="1"/>
  <mergeCells count="101">
    <mergeCell ref="R49:T49"/>
    <mergeCell ref="R51:T51"/>
    <mergeCell ref="U106:U107"/>
    <mergeCell ref="Y106:Y107"/>
    <mergeCell ref="V49:X49"/>
    <mergeCell ref="V51:X51"/>
    <mergeCell ref="K40:N40"/>
    <mergeCell ref="K33:N33"/>
    <mergeCell ref="K45:O45"/>
    <mergeCell ref="K36:N36"/>
    <mergeCell ref="K37:N37"/>
    <mergeCell ref="K44:N44"/>
    <mergeCell ref="K42:N42"/>
    <mergeCell ref="K39:N39"/>
    <mergeCell ref="K43:N43"/>
    <mergeCell ref="K41:N41"/>
    <mergeCell ref="V121:X121"/>
    <mergeCell ref="V126:X126"/>
    <mergeCell ref="V133:V134"/>
    <mergeCell ref="W133:W134"/>
    <mergeCell ref="X133:X134"/>
    <mergeCell ref="N121:P121"/>
    <mergeCell ref="I49:L49"/>
    <mergeCell ref="J70:J102"/>
    <mergeCell ref="E51:G51"/>
    <mergeCell ref="M106:M107"/>
    <mergeCell ref="N51:P51"/>
    <mergeCell ref="N49:P49"/>
    <mergeCell ref="I51:L51"/>
    <mergeCell ref="E49:G49"/>
    <mergeCell ref="A130:B130"/>
    <mergeCell ref="N126:P126"/>
    <mergeCell ref="F133:F134"/>
    <mergeCell ref="G133:G134"/>
    <mergeCell ref="I133:I134"/>
    <mergeCell ref="K133:K134"/>
    <mergeCell ref="O133:O134"/>
    <mergeCell ref="P133:P134"/>
    <mergeCell ref="A127:B127"/>
    <mergeCell ref="A128:B128"/>
    <mergeCell ref="A129:B129"/>
    <mergeCell ref="A126:B126"/>
    <mergeCell ref="K38:N38"/>
    <mergeCell ref="B89:C89"/>
    <mergeCell ref="E121:G121"/>
    <mergeCell ref="A124:B124"/>
    <mergeCell ref="A122:B122"/>
    <mergeCell ref="H106:H107"/>
    <mergeCell ref="I121:L121"/>
    <mergeCell ref="B88:C88"/>
    <mergeCell ref="B6:E6"/>
    <mergeCell ref="B7:E7"/>
    <mergeCell ref="K29:N29"/>
    <mergeCell ref="K35:N35"/>
    <mergeCell ref="I20:I25"/>
    <mergeCell ref="K31:N31"/>
    <mergeCell ref="K32:N32"/>
    <mergeCell ref="K27:N27"/>
    <mergeCell ref="E133:E134"/>
    <mergeCell ref="N133:N134"/>
    <mergeCell ref="D9:D10"/>
    <mergeCell ref="C9:C10"/>
    <mergeCell ref="C55:D55"/>
    <mergeCell ref="C61:D61"/>
    <mergeCell ref="K34:N34"/>
    <mergeCell ref="A120:D120"/>
    <mergeCell ref="B116:D116"/>
    <mergeCell ref="A123:B123"/>
    <mergeCell ref="E126:G126"/>
    <mergeCell ref="A125:B125"/>
    <mergeCell ref="A1:P1"/>
    <mergeCell ref="K28:N28"/>
    <mergeCell ref="K30:N30"/>
    <mergeCell ref="A2:P2"/>
    <mergeCell ref="K4:Q4"/>
    <mergeCell ref="O5:P5"/>
    <mergeCell ref="B102:C102"/>
    <mergeCell ref="D81:D82"/>
    <mergeCell ref="C71:D71"/>
    <mergeCell ref="Q106:Q107"/>
    <mergeCell ref="L133:L134"/>
    <mergeCell ref="A121:B121"/>
    <mergeCell ref="J133:J134"/>
    <mergeCell ref="J122:J125"/>
    <mergeCell ref="J127:J130"/>
    <mergeCell ref="I126:L126"/>
    <mergeCell ref="A134:B134"/>
    <mergeCell ref="A133:D133"/>
    <mergeCell ref="R121:T121"/>
    <mergeCell ref="R126:T126"/>
    <mergeCell ref="R133:R134"/>
    <mergeCell ref="S133:S134"/>
    <mergeCell ref="T133:T134"/>
    <mergeCell ref="Z49:AB49"/>
    <mergeCell ref="Z51:AB51"/>
    <mergeCell ref="AC106:AC107"/>
    <mergeCell ref="Z121:AB121"/>
    <mergeCell ref="Z126:AB126"/>
    <mergeCell ref="Z133:Z134"/>
    <mergeCell ref="AA133:AA134"/>
    <mergeCell ref="AB133:AB134"/>
  </mergeCells>
  <conditionalFormatting sqref="D9:D10">
    <cfRule type="cellIs" priority="1" dxfId="3" operator="lessThan" stopIfTrue="1">
      <formula>0</formula>
    </cfRule>
    <cfRule type="cellIs" priority="2" dxfId="0" operator="greaterThan" stopIfTrue="1">
      <formula>0</formula>
    </cfRule>
  </conditionalFormatting>
  <printOptions/>
  <pageMargins left="0.26" right="0.2" top="0.41" bottom="0.36" header="0.31496062992125984" footer="0.31"/>
  <pageSetup fitToHeight="1" fitToWidth="1" horizontalDpi="300" verticalDpi="300" orientation="landscape" paperSize="8" scale="23" r:id="rId2"/>
  <headerFooter alignWithMargins="0">
    <oddFooter>&amp;L&amp;8&amp;F  &amp;D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C140"/>
  <sheetViews>
    <sheetView tabSelected="1" zoomScale="75" zoomScaleNormal="75" workbookViewId="0" topLeftCell="A1">
      <selection activeCell="A1" sqref="A1:P1"/>
    </sheetView>
  </sheetViews>
  <sheetFormatPr defaultColWidth="9.140625" defaultRowHeight="12.75"/>
  <cols>
    <col min="1" max="1" width="4.7109375" style="0" customWidth="1"/>
    <col min="2" max="2" width="8.57421875" style="0" customWidth="1"/>
    <col min="3" max="3" width="23.57421875" style="0" customWidth="1"/>
    <col min="4" max="4" width="18.8515625" style="0" customWidth="1"/>
    <col min="5" max="6" width="14.7109375" style="0" customWidth="1"/>
    <col min="7" max="7" width="16.421875" style="0" customWidth="1"/>
    <col min="8" max="8" width="3.8515625" style="0" customWidth="1"/>
    <col min="9" max="9" width="20.140625" style="0" customWidth="1"/>
    <col min="10" max="10" width="4.8515625" style="0" customWidth="1"/>
    <col min="11" max="11" width="25.57421875" style="0" customWidth="1"/>
    <col min="12" max="12" width="20.7109375" style="0" customWidth="1"/>
    <col min="13" max="13" width="8.8515625" style="0" customWidth="1"/>
    <col min="14" max="16" width="19.8515625" style="0" customWidth="1"/>
    <col min="17" max="17" width="16.7109375" style="0" customWidth="1"/>
    <col min="18" max="20" width="19.00390625" style="0" customWidth="1"/>
    <col min="21" max="21" width="7.57421875" style="0" customWidth="1"/>
    <col min="22" max="24" width="18.7109375" style="0" customWidth="1"/>
    <col min="25" max="25" width="6.7109375" style="0" customWidth="1"/>
    <col min="26" max="28" width="18.7109375" style="0" customWidth="1"/>
    <col min="29" max="29" width="6.7109375" style="0" customWidth="1"/>
  </cols>
  <sheetData>
    <row r="1" spans="1:16" ht="37.5" customHeight="1">
      <c r="A1" s="897" t="s">
        <v>37</v>
      </c>
      <c r="B1" s="897"/>
      <c r="C1" s="897"/>
      <c r="D1" s="897"/>
      <c r="E1" s="897"/>
      <c r="F1" s="897"/>
      <c r="G1" s="897"/>
      <c r="H1" s="897"/>
      <c r="I1" s="897"/>
      <c r="J1" s="897"/>
      <c r="K1" s="897"/>
      <c r="L1" s="897"/>
      <c r="M1" s="897"/>
      <c r="N1" s="897"/>
      <c r="O1" s="897"/>
      <c r="P1" s="897"/>
    </row>
    <row r="2" spans="1:16" ht="26.25" customHeight="1">
      <c r="A2" s="980" t="s">
        <v>619</v>
      </c>
      <c r="B2" s="980"/>
      <c r="C2" s="980"/>
      <c r="D2" s="980"/>
      <c r="E2" s="980"/>
      <c r="F2" s="980"/>
      <c r="G2" s="980"/>
      <c r="H2" s="980"/>
      <c r="I2" s="980"/>
      <c r="J2" s="980"/>
      <c r="K2" s="980"/>
      <c r="L2" s="980"/>
      <c r="M2" s="980"/>
      <c r="N2" s="980"/>
      <c r="O2" s="980"/>
      <c r="P2" s="980"/>
    </row>
    <row r="3" spans="1:16" ht="26.25" customHeight="1" thickBot="1">
      <c r="A3" s="30"/>
      <c r="B3" s="30"/>
      <c r="C3" s="30"/>
      <c r="D3" s="30"/>
      <c r="E3" s="30"/>
      <c r="F3" s="30"/>
      <c r="G3" s="30"/>
      <c r="H3" s="30"/>
      <c r="I3" s="30"/>
      <c r="J3" s="30"/>
      <c r="K3" s="30"/>
      <c r="L3" s="30"/>
      <c r="M3" s="30"/>
      <c r="N3" s="30"/>
      <c r="O3" s="30"/>
      <c r="P3" s="30"/>
    </row>
    <row r="4" spans="1:23" ht="26.25" customHeight="1" thickTop="1">
      <c r="A4" s="30"/>
      <c r="B4" s="30"/>
      <c r="C4" s="30"/>
      <c r="D4" s="30"/>
      <c r="E4" s="30"/>
      <c r="F4" s="30"/>
      <c r="G4" s="30"/>
      <c r="H4" s="30"/>
      <c r="I4" s="30"/>
      <c r="J4" s="30"/>
      <c r="K4" s="981" t="s">
        <v>68</v>
      </c>
      <c r="L4" s="982"/>
      <c r="M4" s="982"/>
      <c r="N4" s="982"/>
      <c r="O4" s="982"/>
      <c r="P4" s="982"/>
      <c r="Q4" s="983"/>
      <c r="R4" s="207"/>
      <c r="S4" s="207"/>
      <c r="T4" s="207"/>
      <c r="U4" s="207"/>
      <c r="V4" s="33"/>
      <c r="W4" s="33"/>
    </row>
    <row r="5" spans="8:21" ht="26.25" customHeight="1" thickBot="1">
      <c r="H5" s="30"/>
      <c r="K5" s="73"/>
      <c r="L5" s="74"/>
      <c r="M5" s="74"/>
      <c r="N5" s="74"/>
      <c r="O5" s="984" t="s">
        <v>76</v>
      </c>
      <c r="P5" s="985"/>
      <c r="Q5" s="75"/>
      <c r="R5" s="823"/>
      <c r="S5" s="823"/>
      <c r="T5" s="823"/>
      <c r="U5" s="823"/>
    </row>
    <row r="6" spans="2:23" ht="43.5" customHeight="1" thickTop="1">
      <c r="B6" s="995" t="s">
        <v>51</v>
      </c>
      <c r="C6" s="996"/>
      <c r="D6" s="996"/>
      <c r="E6" s="997"/>
      <c r="F6" s="61" t="s">
        <v>40</v>
      </c>
      <c r="G6" s="62" t="s">
        <v>65</v>
      </c>
      <c r="K6" s="79" t="s">
        <v>69</v>
      </c>
      <c r="L6" s="76" t="s">
        <v>77</v>
      </c>
      <c r="M6" s="764" t="s">
        <v>579</v>
      </c>
      <c r="N6" s="76" t="s">
        <v>580</v>
      </c>
      <c r="O6" s="76" t="s">
        <v>75</v>
      </c>
      <c r="P6" s="76" t="s">
        <v>641</v>
      </c>
      <c r="Q6" s="80" t="s">
        <v>73</v>
      </c>
      <c r="R6" s="824"/>
      <c r="S6" s="824"/>
      <c r="T6" s="824"/>
      <c r="U6" s="824"/>
      <c r="W6" s="31"/>
    </row>
    <row r="7" spans="2:21" ht="12.75" customHeight="1">
      <c r="B7" s="1021" t="s">
        <v>67</v>
      </c>
      <c r="C7" s="1022"/>
      <c r="D7" s="1022"/>
      <c r="E7" s="1023"/>
      <c r="F7" s="5" t="s">
        <v>48</v>
      </c>
      <c r="G7" s="796">
        <f>(+'HCRW generation data'!D9*'HCRW generation data'!E12+'HCRW generation data'!D13*'HCRW generation data'!E16)*(1+D9)</f>
        <v>353591</v>
      </c>
      <c r="K7" s="81" t="s">
        <v>517</v>
      </c>
      <c r="L7" s="797">
        <f>'Scenario Costs All Facilities'!L7</f>
        <v>0.7</v>
      </c>
      <c r="M7" s="71"/>
      <c r="N7" s="798">
        <f>'Scenario Costs All Facilities'!N7</f>
        <v>9</v>
      </c>
      <c r="O7" s="72" t="s">
        <v>17</v>
      </c>
      <c r="P7" s="72" t="s">
        <v>17</v>
      </c>
      <c r="Q7" s="800">
        <f>'Scenario Costs All Facilities'!Q7</f>
        <v>11.5</v>
      </c>
      <c r="R7" s="825"/>
      <c r="S7" s="825"/>
      <c r="T7" s="825"/>
      <c r="U7" s="825"/>
    </row>
    <row r="8" spans="2:21" ht="12.75" customHeight="1">
      <c r="B8" s="64"/>
      <c r="C8" s="22"/>
      <c r="D8" s="22"/>
      <c r="E8" s="22"/>
      <c r="F8" s="5" t="s">
        <v>49</v>
      </c>
      <c r="G8" s="796">
        <f>(+'HCRW generation data'!D9*'HCRW generation data'!F12+'HCRW generation data'!D13*'HCRW generation data'!F16)*(1+D9)</f>
        <v>14049</v>
      </c>
      <c r="K8" s="81" t="s">
        <v>518</v>
      </c>
      <c r="L8" s="797">
        <f>'Scenario Costs All Facilities'!L8</f>
        <v>0.35</v>
      </c>
      <c r="M8" s="71"/>
      <c r="N8" s="798">
        <f>'Scenario Costs All Facilities'!N8</f>
        <v>8</v>
      </c>
      <c r="O8" s="72" t="s">
        <v>17</v>
      </c>
      <c r="P8" s="72" t="s">
        <v>17</v>
      </c>
      <c r="Q8" s="800">
        <f>'Scenario Costs All Facilities'!Q8</f>
        <v>6.2</v>
      </c>
      <c r="R8" s="825"/>
      <c r="S8" s="825"/>
      <c r="T8" s="825"/>
      <c r="U8" s="825"/>
    </row>
    <row r="9" spans="2:21" ht="12.75" customHeight="1">
      <c r="B9" s="64"/>
      <c r="C9" s="991" t="s">
        <v>241</v>
      </c>
      <c r="D9" s="1024">
        <f>+'Scenario Costs All Facilities'!D9:D10</f>
        <v>-0.3</v>
      </c>
      <c r="E9" s="1025" t="s">
        <v>242</v>
      </c>
      <c r="F9" s="5" t="s">
        <v>50</v>
      </c>
      <c r="G9" s="796">
        <f>(+'HCRW generation data'!D9*'HCRW generation data'!G12+'HCRW generation data'!D13*'HCRW generation data'!G16)*(1+D9)</f>
        <v>34160</v>
      </c>
      <c r="K9" s="81" t="s">
        <v>71</v>
      </c>
      <c r="L9" s="229"/>
      <c r="M9" s="71"/>
      <c r="N9" s="798">
        <f>'Scenario Costs All Facilities'!N9</f>
        <v>2.4</v>
      </c>
      <c r="O9" s="798">
        <f>'Scenario Costs All Facilities'!O9</f>
        <v>8.333333333333334</v>
      </c>
      <c r="P9" s="798">
        <f>'Scenario Costs All Facilities'!P9</f>
        <v>33.333333333333336</v>
      </c>
      <c r="Q9" s="800">
        <f>'Scenario Costs All Facilities'!Q9</f>
        <v>0.82</v>
      </c>
      <c r="R9" s="825"/>
      <c r="S9" s="825"/>
      <c r="T9" s="825"/>
      <c r="U9" s="825"/>
    </row>
    <row r="10" spans="2:21" ht="12.75" customHeight="1">
      <c r="B10" s="64"/>
      <c r="C10" s="991"/>
      <c r="D10" s="1024"/>
      <c r="E10" s="1025"/>
      <c r="F10" s="5" t="s">
        <v>56</v>
      </c>
      <c r="G10" s="796">
        <f>SUM(G7:G9)</f>
        <v>401800</v>
      </c>
      <c r="K10" s="81" t="s">
        <v>72</v>
      </c>
      <c r="L10" s="229"/>
      <c r="M10" s="71"/>
      <c r="N10" s="798">
        <f>'Scenario Costs All Facilities'!N10</f>
        <v>4.1</v>
      </c>
      <c r="O10" s="798">
        <f>'Scenario Costs All Facilities'!O10</f>
        <v>4.878048780487806</v>
      </c>
      <c r="P10" s="798">
        <f>'Scenario Costs All Facilities'!P10</f>
        <v>19.512195121951223</v>
      </c>
      <c r="Q10" s="800">
        <f>'Scenario Costs All Facilities'!Q10</f>
        <v>1.15</v>
      </c>
      <c r="R10" s="825"/>
      <c r="S10" s="825"/>
      <c r="T10" s="825"/>
      <c r="U10" s="825"/>
    </row>
    <row r="11" spans="2:21" ht="12.75" customHeight="1" thickBot="1">
      <c r="B11" s="65"/>
      <c r="C11" s="66"/>
      <c r="D11" s="66"/>
      <c r="E11" s="66"/>
      <c r="F11" s="67"/>
      <c r="G11" s="68"/>
      <c r="K11" s="81" t="s">
        <v>74</v>
      </c>
      <c r="L11" s="229"/>
      <c r="M11" s="71"/>
      <c r="N11" s="798">
        <f>'Scenario Costs All Facilities'!N11</f>
        <v>10.4</v>
      </c>
      <c r="O11" s="798">
        <f>'Scenario Costs All Facilities'!O11</f>
        <v>1.923076923076923</v>
      </c>
      <c r="P11" s="798">
        <f>'Scenario Costs All Facilities'!P11</f>
        <v>7.692307692307692</v>
      </c>
      <c r="Q11" s="800">
        <f>'Scenario Costs All Facilities'!Q11</f>
        <v>26.22</v>
      </c>
      <c r="R11" s="825"/>
      <c r="S11" s="825"/>
      <c r="T11" s="825"/>
      <c r="U11" s="825"/>
    </row>
    <row r="12" spans="7:21" ht="12.75" customHeight="1" thickTop="1">
      <c r="G12" s="10"/>
      <c r="H12" s="30"/>
      <c r="K12" s="81" t="s">
        <v>563</v>
      </c>
      <c r="L12" s="229"/>
      <c r="M12" s="71"/>
      <c r="N12" s="798">
        <f>'Scenario Costs All Facilities'!N12</f>
        <v>2.5</v>
      </c>
      <c r="O12" s="798">
        <f>'Scenario Costs All Facilities'!O12</f>
        <v>8</v>
      </c>
      <c r="P12" s="798">
        <f>'Scenario Costs All Facilities'!P12</f>
        <v>32</v>
      </c>
      <c r="Q12" s="800">
        <f>'Scenario Costs All Facilities'!Q12</f>
        <v>12</v>
      </c>
      <c r="R12" s="825"/>
      <c r="S12" s="825"/>
      <c r="T12" s="825"/>
      <c r="U12" s="825"/>
    </row>
    <row r="13" spans="7:21" ht="12.75" customHeight="1">
      <c r="G13" s="10"/>
      <c r="H13" s="30"/>
      <c r="K13" s="81" t="s">
        <v>81</v>
      </c>
      <c r="L13" s="229"/>
      <c r="M13" s="71"/>
      <c r="N13" s="798">
        <f>'Scenario Costs All Facilities'!N13</f>
        <v>2.6</v>
      </c>
      <c r="O13" s="82"/>
      <c r="P13" s="82"/>
      <c r="Q13" s="800">
        <f>'Scenario Costs All Facilities'!Q13</f>
        <v>14.7</v>
      </c>
      <c r="R13" s="825"/>
      <c r="S13" s="825"/>
      <c r="T13" s="825"/>
      <c r="U13" s="825"/>
    </row>
    <row r="14" spans="7:21" ht="12.75" customHeight="1">
      <c r="G14" s="10"/>
      <c r="H14" s="30"/>
      <c r="K14" s="81" t="s">
        <v>210</v>
      </c>
      <c r="L14" s="797">
        <f>'Scenario Costs All Facilities'!L14</f>
        <v>15</v>
      </c>
      <c r="M14" s="71"/>
      <c r="N14" s="798">
        <f>'Scenario Costs All Facilities'!N14</f>
        <v>20</v>
      </c>
      <c r="O14" s="234"/>
      <c r="P14" s="72"/>
      <c r="Q14" s="800">
        <f>'Scenario Costs All Facilities'!Q14</f>
        <v>300</v>
      </c>
      <c r="R14" s="825"/>
      <c r="S14" s="825"/>
      <c r="T14" s="825"/>
      <c r="U14" s="825"/>
    </row>
    <row r="15" spans="7:21" ht="12.75" customHeight="1">
      <c r="G15" s="10"/>
      <c r="H15" s="30"/>
      <c r="K15" s="81" t="s">
        <v>639</v>
      </c>
      <c r="L15" s="797">
        <f>'Scenario Costs All Facilities'!L15</f>
        <v>44</v>
      </c>
      <c r="M15" s="71"/>
      <c r="N15" s="798">
        <f>'Scenario Costs All Facilities'!N15</f>
        <v>80</v>
      </c>
      <c r="O15" s="234"/>
      <c r="P15" s="72"/>
      <c r="Q15" s="800">
        <f>'Scenario Costs All Facilities'!Q15</f>
        <v>1825</v>
      </c>
      <c r="R15" s="825"/>
      <c r="S15" s="825"/>
      <c r="T15" s="825"/>
      <c r="U15" s="825"/>
    </row>
    <row r="16" spans="7:21" ht="12.75" customHeight="1">
      <c r="G16" s="10"/>
      <c r="H16" s="30"/>
      <c r="K16" s="81" t="s">
        <v>647</v>
      </c>
      <c r="L16" s="797">
        <f>'Scenario Costs All Facilities'!L16</f>
        <v>45</v>
      </c>
      <c r="M16" s="71"/>
      <c r="N16" s="798">
        <f>'Scenario Costs All Facilities'!N16</f>
        <v>68</v>
      </c>
      <c r="O16" s="234"/>
      <c r="P16" s="72"/>
      <c r="Q16" s="800">
        <f>'Scenario Costs All Facilities'!Q16</f>
        <v>2450</v>
      </c>
      <c r="R16" s="825"/>
      <c r="S16" s="825"/>
      <c r="T16" s="825"/>
      <c r="U16" s="825"/>
    </row>
    <row r="17" spans="7:21" ht="12.75" customHeight="1">
      <c r="G17" s="10"/>
      <c r="H17" s="30"/>
      <c r="K17" s="81" t="s">
        <v>562</v>
      </c>
      <c r="L17" s="797">
        <f>'Scenario Costs All Facilities'!L17</f>
        <v>6.5</v>
      </c>
      <c r="M17" s="71"/>
      <c r="N17" s="798">
        <f>'Scenario Costs All Facilities'!N17</f>
        <v>6.75</v>
      </c>
      <c r="O17" s="72" t="s">
        <v>17</v>
      </c>
      <c r="P17" s="72" t="s">
        <v>17</v>
      </c>
      <c r="Q17" s="800">
        <f>'Scenario Costs All Facilities'!Q17</f>
        <v>100</v>
      </c>
      <c r="R17" s="825"/>
      <c r="S17" s="825"/>
      <c r="T17" s="825"/>
      <c r="U17" s="825"/>
    </row>
    <row r="18" spans="7:21" ht="12.75" customHeight="1">
      <c r="G18" s="10"/>
      <c r="H18" s="30"/>
      <c r="K18" s="81" t="s">
        <v>516</v>
      </c>
      <c r="L18" s="797">
        <f>'Scenario Costs All Facilities'!L18</f>
        <v>3.5</v>
      </c>
      <c r="M18" s="71"/>
      <c r="N18" s="798">
        <f>'Scenario Costs All Facilities'!N18</f>
        <v>5</v>
      </c>
      <c r="O18" s="72" t="s">
        <v>17</v>
      </c>
      <c r="P18" s="72" t="s">
        <v>17</v>
      </c>
      <c r="Q18" s="800">
        <f>'Scenario Costs All Facilities'!Q18</f>
        <v>70</v>
      </c>
      <c r="R18" s="825"/>
      <c r="S18" s="825"/>
      <c r="T18" s="825"/>
      <c r="U18" s="825"/>
    </row>
    <row r="19" spans="7:21" ht="12.75" customHeight="1">
      <c r="G19" s="10"/>
      <c r="H19" s="30"/>
      <c r="K19" s="81" t="s">
        <v>564</v>
      </c>
      <c r="L19" s="82"/>
      <c r="M19" s="71"/>
      <c r="N19" s="798">
        <f>'Scenario Costs All Facilities'!N19</f>
        <v>3.5</v>
      </c>
      <c r="O19" s="72" t="s">
        <v>17</v>
      </c>
      <c r="P19" s="72" t="s">
        <v>17</v>
      </c>
      <c r="Q19" s="800">
        <f>'Scenario Costs All Facilities'!Q19</f>
        <v>30</v>
      </c>
      <c r="R19" s="825"/>
      <c r="S19" s="825"/>
      <c r="T19" s="825"/>
      <c r="U19" s="825"/>
    </row>
    <row r="20" spans="7:21" ht="12.75" customHeight="1">
      <c r="G20" s="10"/>
      <c r="H20" s="30"/>
      <c r="I20" s="1001" t="s">
        <v>582</v>
      </c>
      <c r="J20" s="765" t="s">
        <v>34</v>
      </c>
      <c r="K20" s="81" t="s">
        <v>570</v>
      </c>
      <c r="L20" s="762" t="s">
        <v>569</v>
      </c>
      <c r="M20" s="798">
        <f>'Scenario Costs All Facilities'!M20</f>
        <v>7</v>
      </c>
      <c r="N20" s="233"/>
      <c r="O20" s="72"/>
      <c r="P20" s="72"/>
      <c r="Q20" s="800">
        <f>'Scenario Costs All Facilities'!Q20</f>
        <v>0.39</v>
      </c>
      <c r="R20" s="825"/>
      <c r="S20" s="825"/>
      <c r="T20" s="825"/>
      <c r="U20" s="825"/>
    </row>
    <row r="21" spans="7:21" ht="24.75" customHeight="1">
      <c r="G21" s="10"/>
      <c r="H21" s="30"/>
      <c r="I21" s="1001"/>
      <c r="J21" s="765" t="s">
        <v>35</v>
      </c>
      <c r="K21" s="81" t="s">
        <v>571</v>
      </c>
      <c r="L21" s="763" t="s">
        <v>576</v>
      </c>
      <c r="M21" s="798">
        <f>'Scenario Costs All Facilities'!M21</f>
        <v>5</v>
      </c>
      <c r="N21" s="233"/>
      <c r="O21" s="72"/>
      <c r="P21" s="72"/>
      <c r="Q21" s="800">
        <f>'Scenario Costs All Facilities'!Q21</f>
        <v>0.7</v>
      </c>
      <c r="R21" s="825"/>
      <c r="S21" s="825"/>
      <c r="T21" s="825"/>
      <c r="U21" s="825"/>
    </row>
    <row r="22" spans="7:21" ht="12.75" customHeight="1">
      <c r="G22" s="10"/>
      <c r="H22" s="30"/>
      <c r="I22" s="1001"/>
      <c r="J22" s="765" t="s">
        <v>36</v>
      </c>
      <c r="K22" s="81" t="s">
        <v>573</v>
      </c>
      <c r="L22" s="762" t="s">
        <v>572</v>
      </c>
      <c r="M22" s="798">
        <f>'Scenario Costs All Facilities'!M22</f>
        <v>14</v>
      </c>
      <c r="N22" s="766" t="s">
        <v>599</v>
      </c>
      <c r="O22" s="72"/>
      <c r="P22" s="72"/>
      <c r="Q22" s="800">
        <f>'Scenario Costs All Facilities'!Q22</f>
        <v>1.12</v>
      </c>
      <c r="R22" s="825"/>
      <c r="S22" s="825"/>
      <c r="T22" s="825"/>
      <c r="U22" s="825"/>
    </row>
    <row r="23" spans="7:21" ht="12.75" customHeight="1">
      <c r="G23" s="10"/>
      <c r="H23" s="30"/>
      <c r="I23" s="1001"/>
      <c r="J23" s="765" t="s">
        <v>87</v>
      </c>
      <c r="K23" s="81" t="s">
        <v>577</v>
      </c>
      <c r="L23" s="762" t="s">
        <v>575</v>
      </c>
      <c r="M23" s="798">
        <f>'Scenario Costs All Facilities'!M23</f>
        <v>5</v>
      </c>
      <c r="N23" s="233"/>
      <c r="O23" s="72"/>
      <c r="P23" s="72"/>
      <c r="Q23" s="800">
        <f>'Scenario Costs All Facilities'!Q23</f>
        <v>1.8</v>
      </c>
      <c r="R23" s="825"/>
      <c r="S23" s="825"/>
      <c r="T23" s="825"/>
      <c r="U23" s="825"/>
    </row>
    <row r="24" spans="7:21" ht="12.75" customHeight="1">
      <c r="G24" s="10"/>
      <c r="H24" s="30"/>
      <c r="I24" s="1001"/>
      <c r="J24" s="765" t="s">
        <v>88</v>
      </c>
      <c r="K24" s="81" t="s">
        <v>578</v>
      </c>
      <c r="L24" s="762" t="s">
        <v>574</v>
      </c>
      <c r="M24" s="798">
        <f>'Scenario Costs All Facilities'!M24</f>
        <v>10</v>
      </c>
      <c r="N24" s="766" t="s">
        <v>599</v>
      </c>
      <c r="O24" s="72"/>
      <c r="P24" s="72"/>
      <c r="Q24" s="800">
        <f>'Scenario Costs All Facilities'!Q24</f>
        <v>1.5</v>
      </c>
      <c r="R24" s="825"/>
      <c r="S24" s="825"/>
      <c r="T24" s="825"/>
      <c r="U24" s="825"/>
    </row>
    <row r="25" spans="7:21" ht="12.75" customHeight="1">
      <c r="G25" s="10"/>
      <c r="H25" s="30"/>
      <c r="I25" s="1001"/>
      <c r="J25" s="765" t="s">
        <v>581</v>
      </c>
      <c r="K25" s="81" t="s">
        <v>616</v>
      </c>
      <c r="L25" s="82"/>
      <c r="M25" s="798">
        <f>'Scenario Costs All Facilities'!M25</f>
        <v>20</v>
      </c>
      <c r="N25" s="233"/>
      <c r="O25" s="72"/>
      <c r="P25" s="72"/>
      <c r="Q25" s="800">
        <f>'Scenario Costs All Facilities'!Q25</f>
        <v>1.8</v>
      </c>
      <c r="R25" s="825"/>
      <c r="S25" s="825"/>
      <c r="T25" s="825"/>
      <c r="U25" s="825"/>
    </row>
    <row r="26" spans="7:21" ht="12.75" customHeight="1">
      <c r="G26" s="10"/>
      <c r="H26" s="30"/>
      <c r="K26" s="81"/>
      <c r="L26" s="332"/>
      <c r="M26" s="71"/>
      <c r="N26" s="332"/>
      <c r="O26" s="333"/>
      <c r="P26" s="334"/>
      <c r="Q26" s="335"/>
      <c r="R26" s="826"/>
      <c r="S26" s="826"/>
      <c r="T26" s="826"/>
      <c r="U26" s="826"/>
    </row>
    <row r="27" spans="7:21" ht="12.75" customHeight="1">
      <c r="G27" s="10"/>
      <c r="H27" s="30"/>
      <c r="K27" s="977" t="s">
        <v>245</v>
      </c>
      <c r="L27" s="978"/>
      <c r="M27" s="978"/>
      <c r="N27" s="978"/>
      <c r="O27" s="333"/>
      <c r="P27" s="334"/>
      <c r="Q27" s="800">
        <f>'Scenario Costs All Facilities'!Q27</f>
        <v>4.3</v>
      </c>
      <c r="R27" s="825"/>
      <c r="S27" s="825"/>
      <c r="T27" s="825"/>
      <c r="U27" s="825"/>
    </row>
    <row r="28" spans="7:21" ht="12.75" customHeight="1">
      <c r="G28" s="10"/>
      <c r="H28" s="30"/>
      <c r="K28" s="977" t="s">
        <v>601</v>
      </c>
      <c r="L28" s="978"/>
      <c r="M28" s="978"/>
      <c r="N28" s="978"/>
      <c r="O28" s="797">
        <f>'Scenario Costs All Facilities'!O28</f>
        <v>1</v>
      </c>
      <c r="P28" s="336" t="s">
        <v>589</v>
      </c>
      <c r="Q28" s="801">
        <f>'Scenario Costs All Facilities'!Q28</f>
        <v>120</v>
      </c>
      <c r="R28" s="843"/>
      <c r="S28" s="843"/>
      <c r="T28" s="843"/>
      <c r="U28" s="843"/>
    </row>
    <row r="29" spans="7:21" ht="12.75" customHeight="1">
      <c r="G29" s="10"/>
      <c r="H29" s="30"/>
      <c r="K29" s="977" t="s">
        <v>602</v>
      </c>
      <c r="L29" s="978"/>
      <c r="M29" s="978"/>
      <c r="N29" s="978"/>
      <c r="O29" s="797">
        <f>'Scenario Costs All Facilities'!O29</f>
        <v>1</v>
      </c>
      <c r="P29" s="336" t="s">
        <v>589</v>
      </c>
      <c r="Q29" s="801">
        <f>'Scenario Costs All Facilities'!Q29</f>
        <v>120</v>
      </c>
      <c r="R29" s="843"/>
      <c r="S29" s="843"/>
      <c r="T29" s="843"/>
      <c r="U29" s="843"/>
    </row>
    <row r="30" spans="7:21" ht="12.75" customHeight="1">
      <c r="G30" s="10"/>
      <c r="H30" s="30"/>
      <c r="I30" s="51"/>
      <c r="J30" s="51"/>
      <c r="K30" s="977" t="s">
        <v>603</v>
      </c>
      <c r="L30" s="978"/>
      <c r="M30" s="978"/>
      <c r="N30" s="978"/>
      <c r="O30" s="797">
        <f>'Scenario Costs All Facilities'!O30</f>
        <v>0.5</v>
      </c>
      <c r="P30" s="336" t="s">
        <v>590</v>
      </c>
      <c r="Q30" s="801">
        <f>'Scenario Costs All Facilities'!Q30</f>
        <v>400</v>
      </c>
      <c r="R30" s="843"/>
      <c r="S30" s="843"/>
      <c r="T30" s="843"/>
      <c r="U30" s="843"/>
    </row>
    <row r="31" spans="7:21" ht="12.75" customHeight="1">
      <c r="G31" s="10"/>
      <c r="H31" s="30"/>
      <c r="I31" s="51"/>
      <c r="J31" s="51"/>
      <c r="K31" s="977" t="s">
        <v>596</v>
      </c>
      <c r="L31" s="978"/>
      <c r="M31" s="978"/>
      <c r="N31" s="978"/>
      <c r="O31" s="797">
        <f>'Scenario Costs All Facilities'!O31</f>
        <v>0.12</v>
      </c>
      <c r="P31" s="336" t="s">
        <v>597</v>
      </c>
      <c r="Q31" s="801">
        <f>'Scenario Costs All Facilities'!Q31</f>
        <v>30</v>
      </c>
      <c r="R31" s="843"/>
      <c r="S31" s="843"/>
      <c r="T31" s="843"/>
      <c r="U31" s="843"/>
    </row>
    <row r="32" spans="7:21" ht="12.75" customHeight="1">
      <c r="G32" s="10"/>
      <c r="H32" s="30"/>
      <c r="I32" s="51"/>
      <c r="J32" s="51"/>
      <c r="K32" s="977" t="s">
        <v>598</v>
      </c>
      <c r="L32" s="978"/>
      <c r="M32" s="978"/>
      <c r="N32" s="978"/>
      <c r="O32" s="797">
        <f>'Scenario Costs All Facilities'!O32</f>
        <v>0.12</v>
      </c>
      <c r="P32" s="336" t="s">
        <v>597</v>
      </c>
      <c r="Q32" s="801">
        <f>'Scenario Costs All Facilities'!Q32</f>
        <v>30</v>
      </c>
      <c r="R32" s="843"/>
      <c r="S32" s="843"/>
      <c r="T32" s="843"/>
      <c r="U32" s="843"/>
    </row>
    <row r="33" spans="7:21" ht="12.75" customHeight="1">
      <c r="G33" s="10"/>
      <c r="H33" s="30"/>
      <c r="I33" s="51"/>
      <c r="J33" s="51"/>
      <c r="K33" s="977" t="s">
        <v>663</v>
      </c>
      <c r="L33" s="978"/>
      <c r="M33" s="978"/>
      <c r="N33" s="978"/>
      <c r="O33" s="799">
        <f>'Scenario Costs All Facilities'!O33</f>
        <v>12</v>
      </c>
      <c r="P33" s="338" t="s">
        <v>218</v>
      </c>
      <c r="Q33" s="801">
        <f>'Scenario Costs All Facilities'!Q33</f>
        <v>2000</v>
      </c>
      <c r="R33" s="843"/>
      <c r="S33" s="843"/>
      <c r="T33" s="843"/>
      <c r="U33" s="843"/>
    </row>
    <row r="34" spans="7:21" ht="12.75" customHeight="1">
      <c r="G34" s="10"/>
      <c r="H34" s="30"/>
      <c r="I34" s="51"/>
      <c r="J34" s="51"/>
      <c r="K34" s="977" t="s">
        <v>664</v>
      </c>
      <c r="L34" s="978"/>
      <c r="M34" s="978"/>
      <c r="N34" s="978"/>
      <c r="O34" s="799">
        <f>'Scenario Costs All Facilities'!O34</f>
        <v>8</v>
      </c>
      <c r="P34" s="338" t="s">
        <v>566</v>
      </c>
      <c r="Q34" s="801">
        <f>'Scenario Costs All Facilities'!Q34</f>
        <v>2000</v>
      </c>
      <c r="R34" s="843"/>
      <c r="S34" s="843"/>
      <c r="T34" s="843"/>
      <c r="U34" s="843"/>
    </row>
    <row r="35" spans="7:21" ht="12.75" customHeight="1">
      <c r="G35" s="10"/>
      <c r="H35" s="30"/>
      <c r="I35" s="51"/>
      <c r="J35" s="51"/>
      <c r="K35" s="977" t="s">
        <v>665</v>
      </c>
      <c r="L35" s="978"/>
      <c r="M35" s="978"/>
      <c r="N35" s="978"/>
      <c r="O35" s="799">
        <f>'Scenario Costs All Facilities'!O35</f>
        <v>16</v>
      </c>
      <c r="P35" s="338" t="s">
        <v>566</v>
      </c>
      <c r="Q35" s="801">
        <f>'Scenario Costs All Facilities'!Q35</f>
        <v>2000</v>
      </c>
      <c r="R35" s="843"/>
      <c r="S35" s="843"/>
      <c r="T35" s="843"/>
      <c r="U35" s="843"/>
    </row>
    <row r="36" spans="7:21" ht="12.75" customHeight="1">
      <c r="G36" s="10"/>
      <c r="H36" s="30"/>
      <c r="I36" s="51"/>
      <c r="J36" s="51"/>
      <c r="K36" s="1018" t="s">
        <v>539</v>
      </c>
      <c r="L36" s="1019"/>
      <c r="M36" s="1019"/>
      <c r="N36" s="1020"/>
      <c r="O36" s="799">
        <f>'Scenario Costs All Facilities'!O36</f>
        <v>18</v>
      </c>
      <c r="P36" s="338" t="s">
        <v>537</v>
      </c>
      <c r="Q36" s="801">
        <f>'Scenario Costs All Facilities'!Q36</f>
        <v>250</v>
      </c>
      <c r="R36" s="843"/>
      <c r="S36" s="843"/>
      <c r="T36" s="843"/>
      <c r="U36" s="843"/>
    </row>
    <row r="37" spans="7:21" ht="12.75" customHeight="1">
      <c r="G37" s="10"/>
      <c r="H37" s="30"/>
      <c r="I37" s="51"/>
      <c r="J37" s="51"/>
      <c r="K37" s="1018" t="s">
        <v>538</v>
      </c>
      <c r="L37" s="1019"/>
      <c r="M37" s="1019"/>
      <c r="N37" s="1020"/>
      <c r="O37" s="799">
        <f>'Scenario Costs All Facilities'!O37</f>
        <v>100</v>
      </c>
      <c r="P37" s="338" t="s">
        <v>537</v>
      </c>
      <c r="Q37" s="801">
        <f>'Scenario Costs All Facilities'!Q37</f>
        <v>3500</v>
      </c>
      <c r="R37" s="843"/>
      <c r="S37" s="843"/>
      <c r="T37" s="843"/>
      <c r="U37" s="843"/>
    </row>
    <row r="38" spans="7:21" ht="12.75" customHeight="1">
      <c r="G38" s="10"/>
      <c r="H38" s="30"/>
      <c r="I38" s="51"/>
      <c r="J38" s="51"/>
      <c r="K38" s="977" t="s">
        <v>529</v>
      </c>
      <c r="L38" s="978"/>
      <c r="M38" s="978"/>
      <c r="N38" s="978"/>
      <c r="O38" s="799">
        <f>'Scenario Costs All Facilities'!O38</f>
        <v>20</v>
      </c>
      <c r="P38" s="338" t="s">
        <v>530</v>
      </c>
      <c r="Q38" s="801">
        <f>'Scenario Costs All Facilities'!Q38</f>
        <v>2500</v>
      </c>
      <c r="R38" s="843"/>
      <c r="S38" s="843"/>
      <c r="T38" s="843"/>
      <c r="U38" s="843"/>
    </row>
    <row r="39" spans="7:21" ht="12.75" customHeight="1">
      <c r="G39" s="10"/>
      <c r="H39" s="30"/>
      <c r="I39" s="51"/>
      <c r="J39" s="51"/>
      <c r="K39" s="977" t="s">
        <v>622</v>
      </c>
      <c r="L39" s="978"/>
      <c r="M39" s="978"/>
      <c r="N39" s="978"/>
      <c r="O39" s="799">
        <f>'Scenario Costs All Facilities'!O39</f>
        <v>150</v>
      </c>
      <c r="P39" s="338" t="s">
        <v>155</v>
      </c>
      <c r="Q39" s="801">
        <f>'Scenario Costs All Facilities'!Q39</f>
        <v>3000</v>
      </c>
      <c r="R39" s="843"/>
      <c r="S39" s="843"/>
      <c r="T39" s="843"/>
      <c r="U39" s="843"/>
    </row>
    <row r="40" spans="7:21" ht="12.75" customHeight="1">
      <c r="G40" s="10"/>
      <c r="H40" s="30"/>
      <c r="I40" s="51"/>
      <c r="J40" s="51"/>
      <c r="K40" s="977" t="s">
        <v>680</v>
      </c>
      <c r="L40" s="978"/>
      <c r="M40" s="978"/>
      <c r="N40" s="978"/>
      <c r="O40" s="799">
        <f>'Scenario Costs All Facilities'!O40</f>
        <v>85</v>
      </c>
      <c r="P40" s="338" t="s">
        <v>155</v>
      </c>
      <c r="Q40" s="801">
        <f>'Scenario Costs All Facilities'!Q40</f>
        <v>3000</v>
      </c>
      <c r="R40" s="843"/>
      <c r="S40" s="843"/>
      <c r="T40" s="843"/>
      <c r="U40" s="843"/>
    </row>
    <row r="41" spans="7:21" ht="12.75" customHeight="1">
      <c r="G41" s="10"/>
      <c r="H41" s="30"/>
      <c r="I41" s="51"/>
      <c r="J41" s="51"/>
      <c r="K41" s="977" t="s">
        <v>681</v>
      </c>
      <c r="L41" s="978"/>
      <c r="M41" s="978"/>
      <c r="N41" s="978"/>
      <c r="O41" s="799">
        <f>'Scenario Costs All Facilities'!O41</f>
        <v>75</v>
      </c>
      <c r="P41" s="338" t="s">
        <v>155</v>
      </c>
      <c r="Q41" s="801">
        <f>'Scenario Costs All Facilities'!Q41</f>
        <v>3000</v>
      </c>
      <c r="R41" s="843"/>
      <c r="S41" s="843"/>
      <c r="T41" s="843"/>
      <c r="U41" s="843"/>
    </row>
    <row r="42" spans="7:21" ht="12.75" customHeight="1">
      <c r="G42" s="10"/>
      <c r="H42" s="30"/>
      <c r="I42" s="51"/>
      <c r="J42" s="51"/>
      <c r="K42" s="977" t="s">
        <v>565</v>
      </c>
      <c r="L42" s="978"/>
      <c r="M42" s="978"/>
      <c r="N42" s="978"/>
      <c r="O42" s="799">
        <f>'Scenario Costs All Facilities'!O42</f>
        <v>100</v>
      </c>
      <c r="P42" s="338" t="s">
        <v>155</v>
      </c>
      <c r="Q42" s="801">
        <f>'Scenario Costs All Facilities'!Q42</f>
        <v>3000</v>
      </c>
      <c r="R42" s="843"/>
      <c r="S42" s="843"/>
      <c r="T42" s="843"/>
      <c r="U42" s="843"/>
    </row>
    <row r="43" spans="7:21" ht="12.75" customHeight="1">
      <c r="G43" s="10"/>
      <c r="H43" s="30"/>
      <c r="I43" s="51"/>
      <c r="J43" s="51"/>
      <c r="K43" s="977" t="s">
        <v>654</v>
      </c>
      <c r="L43" s="978"/>
      <c r="M43" s="978"/>
      <c r="N43" s="978"/>
      <c r="O43" s="799">
        <f>'Scenario Costs All Facilities'!O43</f>
        <v>150</v>
      </c>
      <c r="P43" s="338" t="s">
        <v>155</v>
      </c>
      <c r="Q43" s="801">
        <f>'Scenario Costs All Facilities'!Q43</f>
        <v>3000</v>
      </c>
      <c r="R43" s="843"/>
      <c r="S43" s="843"/>
      <c r="T43" s="843"/>
      <c r="U43" s="843"/>
    </row>
    <row r="44" spans="7:21" ht="12.75" customHeight="1">
      <c r="G44" s="10"/>
      <c r="H44" s="30"/>
      <c r="I44" s="51"/>
      <c r="J44" s="51"/>
      <c r="K44" s="977" t="s">
        <v>655</v>
      </c>
      <c r="L44" s="978"/>
      <c r="M44" s="978"/>
      <c r="N44" s="978"/>
      <c r="O44" s="799">
        <f>'Scenario Costs All Facilities'!O44</f>
        <v>165</v>
      </c>
      <c r="P44" s="338" t="s">
        <v>155</v>
      </c>
      <c r="Q44" s="801">
        <f>'Scenario Costs All Facilities'!Q44</f>
        <v>3000</v>
      </c>
      <c r="R44" s="843"/>
      <c r="S44" s="843"/>
      <c r="T44" s="843"/>
      <c r="U44" s="843"/>
    </row>
    <row r="45" spans="7:21" ht="25.5" customHeight="1">
      <c r="G45" s="10"/>
      <c r="H45" s="30"/>
      <c r="I45" s="51"/>
      <c r="J45" s="51"/>
      <c r="K45" s="1016" t="s">
        <v>250</v>
      </c>
      <c r="L45" s="1017"/>
      <c r="M45" s="1017"/>
      <c r="N45" s="1017"/>
      <c r="O45" s="985"/>
      <c r="P45" s="338"/>
      <c r="Q45" s="802">
        <f>'Scenario Costs All Facilities'!Q45</f>
        <v>0.12</v>
      </c>
      <c r="R45" s="829"/>
      <c r="S45" s="829"/>
      <c r="T45" s="829"/>
      <c r="U45" s="829"/>
    </row>
    <row r="46" spans="7:21" ht="12.75" customHeight="1" thickBot="1">
      <c r="G46" s="10"/>
      <c r="H46" s="30"/>
      <c r="I46" s="51"/>
      <c r="J46" s="51"/>
      <c r="K46" s="57"/>
      <c r="L46" s="58"/>
      <c r="M46" s="58"/>
      <c r="N46" s="58"/>
      <c r="O46" s="58"/>
      <c r="P46" s="59"/>
      <c r="Q46" s="60"/>
      <c r="R46" s="70"/>
      <c r="S46" s="70"/>
      <c r="T46" s="70"/>
      <c r="U46" s="70"/>
    </row>
    <row r="47" spans="7:21" ht="12.75" customHeight="1" thickTop="1">
      <c r="G47" s="10"/>
      <c r="H47" s="30"/>
      <c r="J47" s="51"/>
      <c r="K47" s="56"/>
      <c r="L47" s="55"/>
      <c r="M47" s="55"/>
      <c r="N47" s="55"/>
      <c r="O47" s="55"/>
      <c r="P47" s="56"/>
      <c r="Q47" s="70"/>
      <c r="R47" s="70"/>
      <c r="S47" s="70"/>
      <c r="T47" s="70"/>
      <c r="U47" s="70"/>
    </row>
    <row r="48" spans="7:21" ht="12.75" customHeight="1">
      <c r="G48" s="10"/>
      <c r="H48" s="30"/>
      <c r="J48" s="51"/>
      <c r="K48" s="56"/>
      <c r="L48" s="55"/>
      <c r="M48" s="55"/>
      <c r="N48" s="55"/>
      <c r="O48" s="55"/>
      <c r="P48" s="56"/>
      <c r="Q48" s="70"/>
      <c r="R48" s="70"/>
      <c r="S48" s="70"/>
      <c r="T48" s="70"/>
      <c r="U48" s="70"/>
    </row>
    <row r="49" spans="5:28" ht="21" customHeight="1">
      <c r="E49" s="952" t="s">
        <v>2</v>
      </c>
      <c r="F49" s="953"/>
      <c r="G49" s="953"/>
      <c r="H49" s="2"/>
      <c r="I49" s="952" t="s">
        <v>3</v>
      </c>
      <c r="J49" s="952"/>
      <c r="K49" s="953"/>
      <c r="L49" s="953"/>
      <c r="M49" s="2"/>
      <c r="N49" s="952" t="s">
        <v>4</v>
      </c>
      <c r="O49" s="953"/>
      <c r="P49" s="953"/>
      <c r="R49" s="952" t="s">
        <v>653</v>
      </c>
      <c r="S49" s="953"/>
      <c r="T49" s="953"/>
      <c r="V49" s="952" t="s">
        <v>521</v>
      </c>
      <c r="W49" s="953"/>
      <c r="X49" s="953"/>
      <c r="Z49" s="952" t="s">
        <v>521</v>
      </c>
      <c r="AA49" s="953"/>
      <c r="AB49" s="953"/>
    </row>
    <row r="50" spans="8:13" ht="12.75">
      <c r="H50" s="22"/>
      <c r="M50" s="22"/>
    </row>
    <row r="51" spans="5:28" ht="42.75" customHeight="1">
      <c r="E51" s="954" t="s">
        <v>683</v>
      </c>
      <c r="F51" s="955"/>
      <c r="G51" s="955"/>
      <c r="H51" s="22"/>
      <c r="I51" s="1014" t="s">
        <v>519</v>
      </c>
      <c r="J51" s="1014"/>
      <c r="K51" s="1014"/>
      <c r="L51" s="1014"/>
      <c r="M51" s="22"/>
      <c r="N51" s="1014" t="s">
        <v>640</v>
      </c>
      <c r="O51" s="1015"/>
      <c r="P51" s="1015"/>
      <c r="R51" s="1014" t="s">
        <v>649</v>
      </c>
      <c r="S51" s="1015"/>
      <c r="T51" s="1015"/>
      <c r="V51" s="954" t="s">
        <v>660</v>
      </c>
      <c r="W51" s="955"/>
      <c r="X51" s="955"/>
      <c r="Z51" s="1014" t="s">
        <v>520</v>
      </c>
      <c r="AA51" s="1015"/>
      <c r="AB51" s="1015"/>
    </row>
    <row r="52" spans="8:13" ht="12.75">
      <c r="H52" s="22"/>
      <c r="M52" s="22"/>
    </row>
    <row r="53" spans="1:28" ht="28.5" customHeight="1">
      <c r="A53" s="32" t="s">
        <v>47</v>
      </c>
      <c r="E53" s="7" t="s">
        <v>40</v>
      </c>
      <c r="F53" s="7" t="s">
        <v>41</v>
      </c>
      <c r="G53" s="7" t="s">
        <v>42</v>
      </c>
      <c r="H53" s="18"/>
      <c r="I53" s="7" t="s">
        <v>40</v>
      </c>
      <c r="J53" s="84" t="s">
        <v>80</v>
      </c>
      <c r="K53" s="7" t="s">
        <v>41</v>
      </c>
      <c r="L53" s="7" t="s">
        <v>42</v>
      </c>
      <c r="M53" s="18"/>
      <c r="N53" s="7" t="s">
        <v>40</v>
      </c>
      <c r="O53" s="7" t="s">
        <v>41</v>
      </c>
      <c r="P53" s="7" t="s">
        <v>42</v>
      </c>
      <c r="R53" s="7" t="s">
        <v>40</v>
      </c>
      <c r="S53" s="7" t="s">
        <v>41</v>
      </c>
      <c r="T53" s="7" t="s">
        <v>42</v>
      </c>
      <c r="V53" s="7" t="s">
        <v>40</v>
      </c>
      <c r="W53" s="7" t="s">
        <v>41</v>
      </c>
      <c r="X53" s="7" t="s">
        <v>42</v>
      </c>
      <c r="Z53" s="7" t="s">
        <v>40</v>
      </c>
      <c r="AA53" s="7" t="s">
        <v>41</v>
      </c>
      <c r="AB53" s="7" t="s">
        <v>42</v>
      </c>
    </row>
    <row r="54" spans="1:28" ht="15.75">
      <c r="A54" s="28"/>
      <c r="C54" s="23" t="s">
        <v>48</v>
      </c>
      <c r="D54" s="24"/>
      <c r="E54" s="5" t="s">
        <v>43</v>
      </c>
      <c r="F54" s="8">
        <f>+G54/30</f>
        <v>1310</v>
      </c>
      <c r="G54" s="8">
        <f>ROUND(+G7/N7,-2)</f>
        <v>39300</v>
      </c>
      <c r="H54" s="18"/>
      <c r="I54" s="5" t="s">
        <v>583</v>
      </c>
      <c r="J54" s="83"/>
      <c r="K54" s="8">
        <f>+L54/30</f>
        <v>1700</v>
      </c>
      <c r="L54" s="8">
        <f>ROUND($G$7/$M$20,-3)</f>
        <v>51000</v>
      </c>
      <c r="M54" s="18"/>
      <c r="N54" s="5" t="s">
        <v>583</v>
      </c>
      <c r="O54" s="8">
        <f>+P54/30</f>
        <v>1700</v>
      </c>
      <c r="P54" s="8">
        <f>ROUND(G$7/$M$20,-3)</f>
        <v>51000</v>
      </c>
      <c r="R54" s="5" t="s">
        <v>583</v>
      </c>
      <c r="S54" s="8">
        <f>+T54/30</f>
        <v>1700</v>
      </c>
      <c r="T54" s="8">
        <f>ROUND(G$7/$M$20,-3)</f>
        <v>51000</v>
      </c>
      <c r="V54" s="5" t="s">
        <v>583</v>
      </c>
      <c r="W54" s="8">
        <f aca="true" t="shared" si="0" ref="W54:W59">+X54/30</f>
        <v>1700</v>
      </c>
      <c r="X54" s="8">
        <f>ROUND($G$7/$M$20,-3)</f>
        <v>51000</v>
      </c>
      <c r="Z54" s="5" t="s">
        <v>583</v>
      </c>
      <c r="AA54" s="8">
        <f aca="true" t="shared" si="1" ref="AA54:AA59">+AB54/30</f>
        <v>1700</v>
      </c>
      <c r="AB54" s="8">
        <f>ROUND($G$7/$M$20,-3)</f>
        <v>51000</v>
      </c>
    </row>
    <row r="55" spans="1:28" ht="12.75" customHeight="1">
      <c r="A55" s="28"/>
      <c r="C55" s="992"/>
      <c r="D55" s="993"/>
      <c r="E55" s="5" t="s">
        <v>584</v>
      </c>
      <c r="F55" s="8">
        <f>G55/30</f>
        <v>2366.6666666666665</v>
      </c>
      <c r="G55" s="8">
        <f>L55</f>
        <v>71000</v>
      </c>
      <c r="H55" s="18"/>
      <c r="I55" s="5" t="s">
        <v>584</v>
      </c>
      <c r="J55" s="83"/>
      <c r="K55" s="8">
        <f>+L55/30</f>
        <v>2366.6666666666665</v>
      </c>
      <c r="L55" s="8">
        <f>ROUND($G$7/$M$21,-3)</f>
        <v>71000</v>
      </c>
      <c r="M55" s="18"/>
      <c r="N55" s="5" t="s">
        <v>584</v>
      </c>
      <c r="O55" s="8">
        <f>+P55/30</f>
        <v>2366.6666666666665</v>
      </c>
      <c r="P55" s="8">
        <f>ROUND(G$7/$M$21,-3)</f>
        <v>71000</v>
      </c>
      <c r="R55" s="5" t="s">
        <v>584</v>
      </c>
      <c r="S55" s="8">
        <f>+T55/30</f>
        <v>2366.6666666666665</v>
      </c>
      <c r="T55" s="8">
        <f>ROUND(G$7/$M$21,-3)</f>
        <v>71000</v>
      </c>
      <c r="V55" s="5" t="s">
        <v>584</v>
      </c>
      <c r="W55" s="8">
        <f t="shared" si="0"/>
        <v>2366.6666666666665</v>
      </c>
      <c r="X55" s="8">
        <f>ROUND(G$7/M$21,-3)</f>
        <v>71000</v>
      </c>
      <c r="Z55" s="5" t="s">
        <v>584</v>
      </c>
      <c r="AA55" s="8">
        <f t="shared" si="1"/>
        <v>2366.6666666666665</v>
      </c>
      <c r="AB55" s="8">
        <f>ROUND(G$7/M$21,-3)</f>
        <v>71000</v>
      </c>
    </row>
    <row r="56" spans="1:28" ht="12.75" customHeight="1">
      <c r="A56" s="28"/>
      <c r="C56" s="761"/>
      <c r="D56" s="181"/>
      <c r="E56" s="5"/>
      <c r="F56" s="8"/>
      <c r="G56" s="8"/>
      <c r="H56" s="18"/>
      <c r="I56" s="5" t="s">
        <v>585</v>
      </c>
      <c r="J56" s="83"/>
      <c r="K56" s="8">
        <f>+L56/30</f>
        <v>2366.6666666666665</v>
      </c>
      <c r="L56" s="8">
        <f>ROUND($G$7/$M$23,-3)</f>
        <v>71000</v>
      </c>
      <c r="M56" s="18"/>
      <c r="N56" s="5" t="s">
        <v>585</v>
      </c>
      <c r="O56" s="8">
        <f>+P56/30</f>
        <v>2366.6666666666665</v>
      </c>
      <c r="P56" s="8">
        <f>ROUND(G$7/$M$23,-3)</f>
        <v>71000</v>
      </c>
      <c r="R56" s="5" t="s">
        <v>585</v>
      </c>
      <c r="S56" s="8">
        <f>+T56/30</f>
        <v>2366.6666666666665</v>
      </c>
      <c r="T56" s="8">
        <f>ROUND(G$7/$M$23,-3)</f>
        <v>71000</v>
      </c>
      <c r="V56" s="5" t="s">
        <v>586</v>
      </c>
      <c r="W56" s="8">
        <f t="shared" si="0"/>
        <v>733.3333333333334</v>
      </c>
      <c r="X56" s="8">
        <f>ROUND(X59*1.05,-3)</f>
        <v>22000</v>
      </c>
      <c r="Z56" s="5" t="s">
        <v>586</v>
      </c>
      <c r="AA56" s="8">
        <f t="shared" si="1"/>
        <v>733.3333333333334</v>
      </c>
      <c r="AB56" s="8">
        <f>ROUND(AB59*1.05,-3)</f>
        <v>22000</v>
      </c>
    </row>
    <row r="57" spans="1:28" ht="12.75" customHeight="1">
      <c r="A57" s="28"/>
      <c r="C57" s="761"/>
      <c r="D57" s="181"/>
      <c r="E57" s="5"/>
      <c r="F57" s="8"/>
      <c r="G57" s="8"/>
      <c r="H57" s="18"/>
      <c r="I57" s="5" t="s">
        <v>588</v>
      </c>
      <c r="J57" s="83"/>
      <c r="K57" s="8">
        <f>K65</f>
        <v>670</v>
      </c>
      <c r="L57" s="8">
        <f>L65</f>
        <v>20100</v>
      </c>
      <c r="M57" s="18"/>
      <c r="N57" s="5"/>
      <c r="O57" s="8"/>
      <c r="P57" s="8"/>
      <c r="R57" s="5"/>
      <c r="S57" s="8"/>
      <c r="T57" s="8"/>
      <c r="V57" s="5" t="s">
        <v>587</v>
      </c>
      <c r="W57" s="8">
        <f t="shared" si="0"/>
        <v>1300</v>
      </c>
      <c r="X57" s="8">
        <f>ROUND(X58*1.05,-3)</f>
        <v>39000</v>
      </c>
      <c r="Z57" s="5" t="s">
        <v>587</v>
      </c>
      <c r="AA57" s="8">
        <f t="shared" si="1"/>
        <v>1300</v>
      </c>
      <c r="AB57" s="8">
        <f>ROUND(AB58*1.05,-3)</f>
        <v>39000</v>
      </c>
    </row>
    <row r="58" spans="1:28" ht="12.75" customHeight="1">
      <c r="A58" s="28"/>
      <c r="C58" s="761"/>
      <c r="D58" s="181"/>
      <c r="E58" s="5"/>
      <c r="F58" s="8"/>
      <c r="G58" s="8"/>
      <c r="H58" s="18"/>
      <c r="I58" s="5"/>
      <c r="J58" s="83"/>
      <c r="K58" s="8"/>
      <c r="L58" s="8"/>
      <c r="M58" s="18"/>
      <c r="N58" s="5"/>
      <c r="O58" s="8"/>
      <c r="P58" s="8"/>
      <c r="R58" s="5"/>
      <c r="S58" s="8"/>
      <c r="T58" s="8"/>
      <c r="V58" s="5" t="s">
        <v>567</v>
      </c>
      <c r="W58" s="8">
        <f t="shared" si="0"/>
        <v>1233.3333333333333</v>
      </c>
      <c r="X58" s="8">
        <f>ROUND(G$7*0.7/N$17,-3)</f>
        <v>37000</v>
      </c>
      <c r="Z58" s="5" t="s">
        <v>567</v>
      </c>
      <c r="AA58" s="8">
        <f t="shared" si="1"/>
        <v>1233.3333333333333</v>
      </c>
      <c r="AB58" s="8">
        <f>ROUND(G$7*0.7/N$17,-3)</f>
        <v>37000</v>
      </c>
    </row>
    <row r="59" spans="1:28" ht="12.75" customHeight="1">
      <c r="A59" s="28"/>
      <c r="C59" s="761"/>
      <c r="D59" s="181"/>
      <c r="E59" s="5"/>
      <c r="F59" s="8"/>
      <c r="G59" s="8"/>
      <c r="H59" s="18"/>
      <c r="I59" s="5"/>
      <c r="J59" s="83"/>
      <c r="K59" s="8"/>
      <c r="L59" s="8"/>
      <c r="M59" s="18"/>
      <c r="N59" s="5"/>
      <c r="O59" s="8"/>
      <c r="P59" s="8"/>
      <c r="R59" s="5"/>
      <c r="S59" s="8"/>
      <c r="T59" s="8"/>
      <c r="V59" s="5" t="s">
        <v>70</v>
      </c>
      <c r="W59" s="8">
        <f t="shared" si="0"/>
        <v>700</v>
      </c>
      <c r="X59" s="8">
        <f>ROUND(G$7*0.3/N$18,-3)</f>
        <v>21000</v>
      </c>
      <c r="Z59" s="5" t="s">
        <v>70</v>
      </c>
      <c r="AA59" s="8">
        <f t="shared" si="1"/>
        <v>700</v>
      </c>
      <c r="AB59" s="8">
        <f>ROUND(G$7*0.3/N$18,-3)</f>
        <v>21000</v>
      </c>
    </row>
    <row r="60" spans="1:28" ht="12.75" customHeight="1">
      <c r="A60" s="28"/>
      <c r="C60" s="761"/>
      <c r="D60" s="181"/>
      <c r="E60" s="5"/>
      <c r="F60" s="8"/>
      <c r="G60" s="8"/>
      <c r="H60" s="18"/>
      <c r="I60" s="5"/>
      <c r="J60" s="83"/>
      <c r="K60" s="8"/>
      <c r="L60" s="8"/>
      <c r="M60" s="18"/>
      <c r="N60" s="5"/>
      <c r="O60" s="8"/>
      <c r="P60" s="8"/>
      <c r="R60" s="5"/>
      <c r="S60" s="8"/>
      <c r="T60" s="8"/>
      <c r="V60" s="5"/>
      <c r="W60" s="8"/>
      <c r="X60" s="8"/>
      <c r="Z60" s="5"/>
      <c r="AA60" s="8"/>
      <c r="AB60" s="8"/>
    </row>
    <row r="61" spans="3:28" ht="12.75" customHeight="1">
      <c r="C61" s="960" t="s">
        <v>79</v>
      </c>
      <c r="D61" s="961"/>
      <c r="E61" s="5" t="s">
        <v>44</v>
      </c>
      <c r="F61" s="8">
        <f>+G61/30</f>
        <v>60</v>
      </c>
      <c r="G61" s="8">
        <f>ROUND(+G8/N8,-2)</f>
        <v>1800</v>
      </c>
      <c r="H61" s="18"/>
      <c r="I61" s="5" t="s">
        <v>45</v>
      </c>
      <c r="J61" s="12"/>
      <c r="K61" s="8">
        <f>+L61/30</f>
        <v>46.666666666666664</v>
      </c>
      <c r="L61" s="8">
        <f>ROUND(+$G$8/$N$11,-2)</f>
        <v>1400</v>
      </c>
      <c r="M61" s="18"/>
      <c r="N61" s="5" t="s">
        <v>45</v>
      </c>
      <c r="O61" s="8">
        <f>+P61/30</f>
        <v>46.666666666666664</v>
      </c>
      <c r="P61" s="8">
        <f>ROUND(+$G$8/$N$11,-2)</f>
        <v>1400</v>
      </c>
      <c r="R61" s="5" t="s">
        <v>45</v>
      </c>
      <c r="S61" s="8">
        <f>+T61/30</f>
        <v>46.666666666666664</v>
      </c>
      <c r="T61" s="8">
        <f>ROUND(+$G$8/$N$11,-2)</f>
        <v>1400</v>
      </c>
      <c r="V61" s="5" t="s">
        <v>45</v>
      </c>
      <c r="W61" s="8">
        <f>+X61/30</f>
        <v>46.666666666666664</v>
      </c>
      <c r="X61" s="8">
        <f>ROUND(+$G$8/$N$11,-2)</f>
        <v>1400</v>
      </c>
      <c r="Z61" s="5" t="s">
        <v>45</v>
      </c>
      <c r="AA61" s="8">
        <f>+AB61/30</f>
        <v>46.666666666666664</v>
      </c>
      <c r="AB61" s="8">
        <f>ROUND(+$G$8/$N$11,-2)</f>
        <v>1400</v>
      </c>
    </row>
    <row r="62" spans="3:28" ht="12.75" customHeight="1">
      <c r="C62" s="741"/>
      <c r="D62" s="742"/>
      <c r="E62" s="5"/>
      <c r="F62" s="8"/>
      <c r="G62" s="8"/>
      <c r="H62" s="18"/>
      <c r="I62" s="5"/>
      <c r="J62" s="12"/>
      <c r="K62" s="8"/>
      <c r="L62" s="8"/>
      <c r="M62" s="18"/>
      <c r="N62" s="5"/>
      <c r="O62" s="8"/>
      <c r="P62" s="8"/>
      <c r="R62" s="5"/>
      <c r="S62" s="8"/>
      <c r="T62" s="8"/>
      <c r="V62" s="5"/>
      <c r="W62" s="8"/>
      <c r="X62" s="8"/>
      <c r="Z62" s="5"/>
      <c r="AA62" s="8"/>
      <c r="AB62" s="8"/>
    </row>
    <row r="63" spans="3:28" ht="12.75" customHeight="1">
      <c r="C63" s="23" t="s">
        <v>50</v>
      </c>
      <c r="D63" s="24"/>
      <c r="E63" s="5" t="s">
        <v>563</v>
      </c>
      <c r="F63" s="8">
        <f>+G63/30</f>
        <v>456.6666666666667</v>
      </c>
      <c r="G63" s="8">
        <f>ROUND(+G9/N12,-2)</f>
        <v>13700</v>
      </c>
      <c r="H63" s="18"/>
      <c r="I63" s="5" t="s">
        <v>563</v>
      </c>
      <c r="J63" s="12"/>
      <c r="K63" s="8">
        <f>+L63/30</f>
        <v>456.6666666666667</v>
      </c>
      <c r="L63" s="8">
        <f>ROUND(+G9/N12,-2)</f>
        <v>13700</v>
      </c>
      <c r="M63" s="18"/>
      <c r="N63" s="5" t="s">
        <v>563</v>
      </c>
      <c r="O63" s="8">
        <f>+P63/30</f>
        <v>456.6666666666667</v>
      </c>
      <c r="P63" s="8">
        <f>ROUND(+G9/N12,-2)</f>
        <v>13700</v>
      </c>
      <c r="R63" s="5" t="s">
        <v>563</v>
      </c>
      <c r="S63" s="8">
        <f>+T63/30</f>
        <v>456.6666666666667</v>
      </c>
      <c r="T63" s="8">
        <f>ROUND(+G9/N12,-2)</f>
        <v>13700</v>
      </c>
      <c r="V63" s="5" t="s">
        <v>563</v>
      </c>
      <c r="W63" s="8">
        <f>+X63/30</f>
        <v>456.6666666666667</v>
      </c>
      <c r="X63" s="8">
        <f>ROUND(G9/N12,-2)</f>
        <v>13700</v>
      </c>
      <c r="Z63" s="5" t="s">
        <v>563</v>
      </c>
      <c r="AA63" s="8">
        <f>+AB63/30</f>
        <v>456.6666666666667</v>
      </c>
      <c r="AB63" s="8">
        <f>ROUND(G9/N12,-2)</f>
        <v>13700</v>
      </c>
    </row>
    <row r="64" spans="6:13" ht="12.75">
      <c r="F64" s="9"/>
      <c r="G64" s="9"/>
      <c r="H64" s="22"/>
      <c r="J64" s="52"/>
      <c r="M64" s="22"/>
    </row>
    <row r="65" spans="6:20" ht="12.75">
      <c r="F65" s="9"/>
      <c r="G65" s="9"/>
      <c r="I65" s="148" t="s">
        <v>46</v>
      </c>
      <c r="J65" s="149"/>
      <c r="K65" s="150">
        <f>+L65/30</f>
        <v>670</v>
      </c>
      <c r="L65" s="150">
        <f>ROUNDUP(G10/N14,-2)</f>
        <v>20100</v>
      </c>
      <c r="M65" s="151"/>
      <c r="N65" s="148" t="s">
        <v>644</v>
      </c>
      <c r="O65" s="150">
        <f>+P65/30</f>
        <v>170</v>
      </c>
      <c r="P65" s="150">
        <f>ROUNDUP(G10/N15,-2)</f>
        <v>5100</v>
      </c>
      <c r="R65" s="148" t="s">
        <v>650</v>
      </c>
      <c r="S65" s="150">
        <f>+T65/30</f>
        <v>200</v>
      </c>
      <c r="T65" s="150">
        <f>ROUNDUP(G10/N16,-2)</f>
        <v>6000</v>
      </c>
    </row>
    <row r="66" spans="6:21" ht="12.75">
      <c r="F66" s="9"/>
      <c r="G66" s="9"/>
      <c r="I66" s="148"/>
      <c r="K66" s="235" t="s">
        <v>228</v>
      </c>
      <c r="L66" s="9">
        <f>+L14+G10/L65</f>
        <v>34.99004975124378</v>
      </c>
      <c r="M66" t="s">
        <v>211</v>
      </c>
      <c r="N66" s="235"/>
      <c r="O66" s="235" t="s">
        <v>228</v>
      </c>
      <c r="P66" s="9">
        <f>+L15+G10/P65</f>
        <v>122.7843137254902</v>
      </c>
      <c r="Q66" t="s">
        <v>211</v>
      </c>
      <c r="R66" s="235"/>
      <c r="S66" s="235" t="s">
        <v>228</v>
      </c>
      <c r="T66" s="9">
        <f>+L16+G10/T65</f>
        <v>111.96666666666667</v>
      </c>
      <c r="U66" t="s">
        <v>211</v>
      </c>
    </row>
    <row r="67" spans="6:21" ht="12.75">
      <c r="F67" s="9"/>
      <c r="G67" s="9"/>
      <c r="K67" s="508" t="s">
        <v>541</v>
      </c>
      <c r="L67" s="746">
        <f>(G10/L65)/240</f>
        <v>0.08329187396351576</v>
      </c>
      <c r="M67" t="s">
        <v>540</v>
      </c>
      <c r="O67" s="508" t="s">
        <v>541</v>
      </c>
      <c r="P67" s="746">
        <f>(G10/P65)/770</f>
        <v>0.10231729055258466</v>
      </c>
      <c r="Q67" t="s">
        <v>540</v>
      </c>
      <c r="S67" s="508" t="s">
        <v>541</v>
      </c>
      <c r="T67" s="746">
        <f>(G10/T65)/660</f>
        <v>0.10146464646464647</v>
      </c>
      <c r="U67" t="s">
        <v>540</v>
      </c>
    </row>
    <row r="68" spans="1:2" ht="19.5" customHeight="1">
      <c r="A68" s="32" t="s">
        <v>38</v>
      </c>
      <c r="B68" s="1"/>
    </row>
    <row r="69" spans="1:28" ht="18" customHeight="1">
      <c r="A69" s="1"/>
      <c r="B69" s="1"/>
      <c r="C69" s="22"/>
      <c r="D69" s="114"/>
      <c r="E69" s="4" t="s">
        <v>18</v>
      </c>
      <c r="F69" s="4" t="s">
        <v>19</v>
      </c>
      <c r="G69" s="4" t="s">
        <v>20</v>
      </c>
      <c r="H69" s="69"/>
      <c r="I69" s="4" t="s">
        <v>18</v>
      </c>
      <c r="J69" s="69"/>
      <c r="K69" s="4" t="s">
        <v>19</v>
      </c>
      <c r="L69" s="4" t="s">
        <v>20</v>
      </c>
      <c r="M69" s="69"/>
      <c r="N69" s="4" t="s">
        <v>18</v>
      </c>
      <c r="O69" s="4" t="s">
        <v>19</v>
      </c>
      <c r="P69" s="4" t="s">
        <v>20</v>
      </c>
      <c r="R69" s="4" t="s">
        <v>18</v>
      </c>
      <c r="S69" s="4" t="s">
        <v>19</v>
      </c>
      <c r="T69" s="4" t="s">
        <v>20</v>
      </c>
      <c r="V69" s="4" t="s">
        <v>18</v>
      </c>
      <c r="W69" s="4" t="s">
        <v>19</v>
      </c>
      <c r="X69" s="4" t="s">
        <v>20</v>
      </c>
      <c r="Z69" s="4" t="s">
        <v>18</v>
      </c>
      <c r="AA69" s="4" t="s">
        <v>19</v>
      </c>
      <c r="AB69" s="4" t="s">
        <v>20</v>
      </c>
    </row>
    <row r="70" spans="1:28" ht="18" customHeight="1">
      <c r="A70" s="1"/>
      <c r="B70" s="17" t="s">
        <v>5</v>
      </c>
      <c r="C70" s="198"/>
      <c r="D70" s="54"/>
      <c r="E70" s="5"/>
      <c r="F70" s="5"/>
      <c r="G70" s="5"/>
      <c r="H70" s="18"/>
      <c r="I70" s="5"/>
      <c r="J70" s="1012"/>
      <c r="K70" s="5"/>
      <c r="L70" s="5"/>
      <c r="M70" s="18"/>
      <c r="N70" s="5"/>
      <c r="O70" s="5"/>
      <c r="P70" s="5"/>
      <c r="R70" s="5"/>
      <c r="S70" s="5"/>
      <c r="T70" s="5"/>
      <c r="V70" s="5"/>
      <c r="W70" s="5"/>
      <c r="X70" s="5"/>
      <c r="Z70" s="5"/>
      <c r="AA70" s="5"/>
      <c r="AB70" s="5"/>
    </row>
    <row r="71" spans="1:28" ht="15.75" customHeight="1">
      <c r="A71" s="1"/>
      <c r="B71" s="11"/>
      <c r="C71" s="960" t="s">
        <v>591</v>
      </c>
      <c r="D71" s="961"/>
      <c r="E71" s="8">
        <f>ROUNDUP(+F55/$O$28,-2)</f>
        <v>2400</v>
      </c>
      <c r="F71" s="13">
        <f>$Q$28</f>
        <v>120</v>
      </c>
      <c r="G71" s="14">
        <f>E71*F71</f>
        <v>288000</v>
      </c>
      <c r="H71" s="18"/>
      <c r="I71" s="8">
        <f>ROUNDUP(+K55/$O$28,-2)</f>
        <v>2400</v>
      </c>
      <c r="J71" s="1012"/>
      <c r="K71" s="13">
        <f>$Q$28</f>
        <v>120</v>
      </c>
      <c r="L71" s="14">
        <f>+I71*K71</f>
        <v>288000</v>
      </c>
      <c r="M71" s="18"/>
      <c r="N71" s="8">
        <f>ROUNDUP(+O55/$O$28,-2)</f>
        <v>2400</v>
      </c>
      <c r="O71" s="13">
        <f>$Q$28</f>
        <v>120</v>
      </c>
      <c r="P71" s="14">
        <f>+N71*O71</f>
        <v>288000</v>
      </c>
      <c r="R71" s="8">
        <f>ROUNDUP(+S55/$O$28,-2)</f>
        <v>2400</v>
      </c>
      <c r="S71" s="13">
        <f>$Q$28</f>
        <v>120</v>
      </c>
      <c r="T71" s="14">
        <f>+R71*S71</f>
        <v>288000</v>
      </c>
      <c r="V71" s="8">
        <f>ROUNDUP(+W55/$O$28,-2)</f>
        <v>2400</v>
      </c>
      <c r="W71" s="13">
        <f>$Q$28</f>
        <v>120</v>
      </c>
      <c r="X71" s="14">
        <f>+V71*W71</f>
        <v>288000</v>
      </c>
      <c r="Z71" s="8">
        <f>ROUNDUP(+AA55/$O$28,-2)</f>
        <v>2400</v>
      </c>
      <c r="AA71" s="13">
        <f>$Q$28</f>
        <v>120</v>
      </c>
      <c r="AB71" s="14">
        <f>+Z71*AA71</f>
        <v>288000</v>
      </c>
    </row>
    <row r="72" spans="1:28" ht="15.75" customHeight="1">
      <c r="A72" s="1"/>
      <c r="B72" s="26"/>
      <c r="C72" s="741" t="s">
        <v>592</v>
      </c>
      <c r="D72" s="742"/>
      <c r="E72" s="8">
        <f>ROUNDUP(F63/$O$31,-2)</f>
        <v>3900</v>
      </c>
      <c r="F72" s="13">
        <f>$Q$31</f>
        <v>30</v>
      </c>
      <c r="G72" s="14">
        <f>E72*F72</f>
        <v>117000</v>
      </c>
      <c r="H72" s="18"/>
      <c r="I72" s="8">
        <f>ROUNDUP(K63/$O$31,-2)</f>
        <v>3900</v>
      </c>
      <c r="J72" s="1012"/>
      <c r="K72" s="13">
        <f>$Q$31</f>
        <v>30</v>
      </c>
      <c r="L72" s="14">
        <f>+I72*K72</f>
        <v>117000</v>
      </c>
      <c r="M72" s="18"/>
      <c r="N72" s="8">
        <f>ROUNDUP(O63/$O$31,-2)</f>
        <v>3900</v>
      </c>
      <c r="O72" s="13">
        <f>$Q$31</f>
        <v>30</v>
      </c>
      <c r="P72" s="14">
        <f>+N72*O72</f>
        <v>117000</v>
      </c>
      <c r="R72" s="8">
        <f>ROUNDUP(S63/$O$31,-2)</f>
        <v>3900</v>
      </c>
      <c r="S72" s="13">
        <f>$Q$31</f>
        <v>30</v>
      </c>
      <c r="T72" s="14">
        <f>+R72*S72</f>
        <v>117000</v>
      </c>
      <c r="V72" s="8">
        <f>ROUNDUP(W63/$O$31,-2)</f>
        <v>3900</v>
      </c>
      <c r="W72" s="13">
        <f>$Q$31</f>
        <v>30</v>
      </c>
      <c r="X72" s="14">
        <f>+V72*W72</f>
        <v>117000</v>
      </c>
      <c r="Z72" s="8">
        <f>ROUNDUP(AA63/$O$31,-2)</f>
        <v>3900</v>
      </c>
      <c r="AA72" s="13">
        <f>$Q$31</f>
        <v>30</v>
      </c>
      <c r="AB72" s="14">
        <f>+Z72*AA72</f>
        <v>117000</v>
      </c>
    </row>
    <row r="73" spans="1:28" ht="15.75" customHeight="1">
      <c r="A73" s="1"/>
      <c r="B73" s="26"/>
      <c r="C73" s="741" t="s">
        <v>593</v>
      </c>
      <c r="D73" s="742"/>
      <c r="E73" s="8">
        <f>ROUNDUP(F55/$O$29,-2)</f>
        <v>2400</v>
      </c>
      <c r="F73" s="13">
        <f>$Q$29</f>
        <v>120</v>
      </c>
      <c r="G73" s="14">
        <f>E73*F73</f>
        <v>288000</v>
      </c>
      <c r="H73" s="18"/>
      <c r="I73" s="8">
        <f>ROUNDUP(K55/$O$29,-2)</f>
        <v>2400</v>
      </c>
      <c r="J73" s="1012"/>
      <c r="K73" s="13">
        <f>$Q$29</f>
        <v>120</v>
      </c>
      <c r="L73" s="14">
        <f>+I73*K73</f>
        <v>288000</v>
      </c>
      <c r="M73" s="18"/>
      <c r="N73" s="8">
        <f>ROUNDUP(O55/$O$29,-2)</f>
        <v>2400</v>
      </c>
      <c r="O73" s="13">
        <f>$Q$29</f>
        <v>120</v>
      </c>
      <c r="P73" s="14">
        <f>+N73*O73</f>
        <v>288000</v>
      </c>
      <c r="R73" s="8">
        <f>ROUNDUP(S55/$O$29,-2)</f>
        <v>2400</v>
      </c>
      <c r="S73" s="13">
        <f>$Q$29</f>
        <v>120</v>
      </c>
      <c r="T73" s="14">
        <f>+R73*S73</f>
        <v>288000</v>
      </c>
      <c r="V73" s="8">
        <f>ROUNDUP(W55/$O$29,-2)</f>
        <v>2400</v>
      </c>
      <c r="W73" s="13">
        <f>$Q$29</f>
        <v>120</v>
      </c>
      <c r="X73" s="14">
        <f>+V73*W73</f>
        <v>288000</v>
      </c>
      <c r="Z73" s="8">
        <f>ROUNDUP(AA55/$O$29,-2)</f>
        <v>2400</v>
      </c>
      <c r="AA73" s="13">
        <f>$Q$29</f>
        <v>120</v>
      </c>
      <c r="AB73" s="14">
        <f>+Z73*AA73</f>
        <v>288000</v>
      </c>
    </row>
    <row r="74" spans="1:28" ht="15.75" customHeight="1">
      <c r="A74" s="1"/>
      <c r="B74" s="26"/>
      <c r="C74" s="741" t="s">
        <v>594</v>
      </c>
      <c r="D74" s="742"/>
      <c r="E74" s="8">
        <f>ROUNDUP(F63/$O$32,-2)</f>
        <v>3900</v>
      </c>
      <c r="F74" s="13">
        <f>$Q$32</f>
        <v>30</v>
      </c>
      <c r="G74" s="14">
        <f>E74*F74</f>
        <v>117000</v>
      </c>
      <c r="H74" s="18"/>
      <c r="I74" s="8">
        <f>ROUNDUP(K63/$O$32,-2)</f>
        <v>3900</v>
      </c>
      <c r="J74" s="1012"/>
      <c r="K74" s="13">
        <f>$Q$32</f>
        <v>30</v>
      </c>
      <c r="L74" s="14">
        <f>+I74*K74</f>
        <v>117000</v>
      </c>
      <c r="M74" s="18"/>
      <c r="N74" s="8">
        <f>ROUNDUP(O63/$O$32,-2)</f>
        <v>3900</v>
      </c>
      <c r="O74" s="13">
        <f>$Q$32</f>
        <v>30</v>
      </c>
      <c r="P74" s="14">
        <f>+N74*O74</f>
        <v>117000</v>
      </c>
      <c r="R74" s="8">
        <f>ROUNDUP(S63/$O$32,-2)</f>
        <v>3900</v>
      </c>
      <c r="S74" s="13">
        <f>$Q$32</f>
        <v>30</v>
      </c>
      <c r="T74" s="14">
        <f>+R74*S74</f>
        <v>117000</v>
      </c>
      <c r="V74" s="8">
        <f>ROUNDUP(W63/$O$32,-2)</f>
        <v>3900</v>
      </c>
      <c r="W74" s="13">
        <f>$Q$32</f>
        <v>30</v>
      </c>
      <c r="X74" s="14">
        <f>+V74*W74</f>
        <v>117000</v>
      </c>
      <c r="Z74" s="8">
        <f>ROUNDUP(AA63/$O$32,-2)</f>
        <v>3900</v>
      </c>
      <c r="AA74" s="13">
        <f>$Q$32</f>
        <v>30</v>
      </c>
      <c r="AB74" s="14">
        <f>+Z74*AA74</f>
        <v>117000</v>
      </c>
    </row>
    <row r="75" spans="2:28" ht="12.75">
      <c r="B75" s="23"/>
      <c r="C75" s="23" t="s">
        <v>595</v>
      </c>
      <c r="D75" s="24"/>
      <c r="E75" s="12" t="s">
        <v>17</v>
      </c>
      <c r="F75" s="13"/>
      <c r="G75" s="12" t="s">
        <v>17</v>
      </c>
      <c r="H75" s="19"/>
      <c r="I75" s="8">
        <f>ROUNDUP(K56/$O$30,-2)</f>
        <v>4800</v>
      </c>
      <c r="J75" s="1012"/>
      <c r="K75" s="14">
        <f>+Q30</f>
        <v>400</v>
      </c>
      <c r="L75" s="14">
        <f>+I75*K75</f>
        <v>1920000</v>
      </c>
      <c r="M75" s="20"/>
      <c r="N75" s="8">
        <f>ROUNDUP(+O56/$O$30,-2)</f>
        <v>4800</v>
      </c>
      <c r="O75" s="14">
        <f>+Q30</f>
        <v>400</v>
      </c>
      <c r="P75" s="14">
        <f>+N75*O75</f>
        <v>1920000</v>
      </c>
      <c r="R75" s="8">
        <f>ROUNDUP(+S56/$O$30,-2)</f>
        <v>4800</v>
      </c>
      <c r="S75" s="14">
        <f>$Q$30</f>
        <v>400</v>
      </c>
      <c r="T75" s="14">
        <f>+R75*S75</f>
        <v>1920000</v>
      </c>
      <c r="V75" s="12" t="s">
        <v>17</v>
      </c>
      <c r="W75" s="13"/>
      <c r="X75" s="12" t="s">
        <v>17</v>
      </c>
      <c r="Z75" s="12" t="s">
        <v>17</v>
      </c>
      <c r="AA75" s="13"/>
      <c r="AB75" s="12" t="s">
        <v>17</v>
      </c>
    </row>
    <row r="76" spans="2:28" ht="12.75">
      <c r="B76" s="23"/>
      <c r="C76" s="23" t="s">
        <v>8</v>
      </c>
      <c r="D76" s="371"/>
      <c r="E76" s="921" t="s">
        <v>661</v>
      </c>
      <c r="F76" s="14">
        <f>+Q33</f>
        <v>2000</v>
      </c>
      <c r="G76" s="921" t="s">
        <v>661</v>
      </c>
      <c r="H76" s="20"/>
      <c r="I76" s="12" t="s">
        <v>17</v>
      </c>
      <c r="J76" s="1012"/>
      <c r="K76" s="14"/>
      <c r="L76" s="12" t="s">
        <v>17</v>
      </c>
      <c r="M76" s="20"/>
      <c r="N76" s="12" t="s">
        <v>17</v>
      </c>
      <c r="O76" s="14"/>
      <c r="P76" s="12" t="s">
        <v>17</v>
      </c>
      <c r="R76" s="12" t="s">
        <v>17</v>
      </c>
      <c r="S76" s="14"/>
      <c r="T76" s="12" t="s">
        <v>17</v>
      </c>
      <c r="V76" s="853" t="s">
        <v>661</v>
      </c>
      <c r="W76" s="14">
        <f>+$Q$33</f>
        <v>2000</v>
      </c>
      <c r="X76" s="12" t="s">
        <v>17</v>
      </c>
      <c r="Z76" s="8">
        <f>ROUNDUP((AA58+AA59/2)/$O$35,-1)</f>
        <v>100</v>
      </c>
      <c r="AA76" s="14">
        <f>+$Q$33</f>
        <v>2000</v>
      </c>
      <c r="AB76" s="14">
        <f>+Z76*AA76</f>
        <v>200000</v>
      </c>
    </row>
    <row r="77" spans="2:28" ht="12.75">
      <c r="B77" s="23"/>
      <c r="C77" s="23" t="s">
        <v>528</v>
      </c>
      <c r="D77" s="371"/>
      <c r="E77" s="12" t="s">
        <v>17</v>
      </c>
      <c r="F77" s="13"/>
      <c r="G77" s="12" t="s">
        <v>17</v>
      </c>
      <c r="H77" s="20"/>
      <c r="I77" s="8">
        <f>K65/O38</f>
        <v>33.5</v>
      </c>
      <c r="J77" s="1012"/>
      <c r="K77" s="14">
        <f>Q38</f>
        <v>2500</v>
      </c>
      <c r="L77" s="14">
        <f>+I77*K77</f>
        <v>83750</v>
      </c>
      <c r="M77" s="20"/>
      <c r="N77" s="12" t="s">
        <v>17</v>
      </c>
      <c r="O77" s="13"/>
      <c r="P77" s="12" t="s">
        <v>17</v>
      </c>
      <c r="R77" s="12" t="s">
        <v>17</v>
      </c>
      <c r="S77" s="13"/>
      <c r="T77" s="12" t="s">
        <v>17</v>
      </c>
      <c r="V77" s="12" t="s">
        <v>17</v>
      </c>
      <c r="W77" s="13"/>
      <c r="X77" s="12" t="s">
        <v>17</v>
      </c>
      <c r="Z77" s="12" t="s">
        <v>17</v>
      </c>
      <c r="AA77" s="13"/>
      <c r="AB77" s="12" t="s">
        <v>17</v>
      </c>
    </row>
    <row r="78" spans="2:28" ht="25.5" customHeight="1">
      <c r="B78" s="23"/>
      <c r="C78" s="23"/>
      <c r="D78" s="789" t="s">
        <v>600</v>
      </c>
      <c r="E78" s="181"/>
      <c r="F78" s="13"/>
      <c r="G78" s="12"/>
      <c r="H78" s="20"/>
      <c r="I78" s="8"/>
      <c r="J78" s="1012"/>
      <c r="K78" s="14"/>
      <c r="L78" s="14"/>
      <c r="M78" s="20"/>
      <c r="N78" s="12"/>
      <c r="O78" s="13"/>
      <c r="P78" s="12"/>
      <c r="R78" s="12"/>
      <c r="S78" s="13"/>
      <c r="T78" s="12"/>
      <c r="V78" s="12"/>
      <c r="W78" s="13"/>
      <c r="X78" s="12"/>
      <c r="Z78" s="12"/>
      <c r="AA78" s="13"/>
      <c r="AB78" s="12"/>
    </row>
    <row r="79" spans="2:28" ht="46.5" customHeight="1">
      <c r="B79" s="23"/>
      <c r="C79" s="768" t="s">
        <v>9</v>
      </c>
      <c r="D79" s="787">
        <f>'Scenario Costs All Facilities'!$D$79</f>
        <v>10</v>
      </c>
      <c r="E79" s="769" t="s">
        <v>17</v>
      </c>
      <c r="F79" s="770"/>
      <c r="G79" s="771" t="s">
        <v>17</v>
      </c>
      <c r="H79" s="19"/>
      <c r="I79" s="347">
        <f>+K65*D79</f>
        <v>6700</v>
      </c>
      <c r="J79" s="1012"/>
      <c r="K79" s="276">
        <f>+Q14</f>
        <v>300</v>
      </c>
      <c r="L79" s="276">
        <f>ROUND(+I79*K79,-3)</f>
        <v>2010000</v>
      </c>
      <c r="M79" s="20"/>
      <c r="N79" s="771" t="s">
        <v>17</v>
      </c>
      <c r="O79" s="14"/>
      <c r="P79" s="771" t="s">
        <v>17</v>
      </c>
      <c r="R79" s="771" t="s">
        <v>17</v>
      </c>
      <c r="S79" s="14"/>
      <c r="T79" s="771" t="s">
        <v>17</v>
      </c>
      <c r="V79" s="771" t="s">
        <v>17</v>
      </c>
      <c r="W79" s="13"/>
      <c r="X79" s="771" t="s">
        <v>17</v>
      </c>
      <c r="Z79" s="771" t="s">
        <v>17</v>
      </c>
      <c r="AA79" s="13"/>
      <c r="AB79" s="771" t="s">
        <v>17</v>
      </c>
    </row>
    <row r="80" spans="2:28" ht="46.5" customHeight="1">
      <c r="B80" s="23"/>
      <c r="C80" s="768" t="s">
        <v>651</v>
      </c>
      <c r="D80" s="787">
        <f>'Scenario Costs All Facilities'!$D$80</f>
        <v>8</v>
      </c>
      <c r="E80" s="769" t="s">
        <v>17</v>
      </c>
      <c r="F80" s="770"/>
      <c r="G80" s="771" t="s">
        <v>17</v>
      </c>
      <c r="H80" s="19"/>
      <c r="I80" s="771" t="s">
        <v>17</v>
      </c>
      <c r="J80" s="1012"/>
      <c r="K80" s="14"/>
      <c r="L80" s="771" t="s">
        <v>17</v>
      </c>
      <c r="M80" s="19"/>
      <c r="N80" s="347">
        <f>+O65*$D$80</f>
        <v>1360</v>
      </c>
      <c r="O80" s="276">
        <f>+Q15</f>
        <v>1825</v>
      </c>
      <c r="P80" s="276">
        <f>ROUND(+N80*O80,-3)</f>
        <v>2482000</v>
      </c>
      <c r="R80" s="347">
        <f>+S65*$D$80</f>
        <v>1600</v>
      </c>
      <c r="S80" s="276">
        <f>$Q$16</f>
        <v>2450</v>
      </c>
      <c r="T80" s="276">
        <f>ROUND(+R80*S80,-3)</f>
        <v>3920000</v>
      </c>
      <c r="V80" s="771" t="s">
        <v>17</v>
      </c>
      <c r="W80" s="13"/>
      <c r="X80" s="771" t="s">
        <v>17</v>
      </c>
      <c r="Z80" s="771" t="s">
        <v>17</v>
      </c>
      <c r="AA80" s="13"/>
      <c r="AB80" s="771" t="s">
        <v>17</v>
      </c>
    </row>
    <row r="81" spans="2:28" ht="24" customHeight="1">
      <c r="B81" s="23"/>
      <c r="C81" s="23" t="s">
        <v>568</v>
      </c>
      <c r="D81" s="1026">
        <f>'Scenario Costs All Facilities'!$D$81</f>
        <v>8</v>
      </c>
      <c r="E81" s="181" t="s">
        <v>17</v>
      </c>
      <c r="F81" s="13"/>
      <c r="G81" s="12" t="s">
        <v>17</v>
      </c>
      <c r="H81" s="19"/>
      <c r="I81" s="12" t="s">
        <v>17</v>
      </c>
      <c r="J81" s="1012"/>
      <c r="K81" s="14"/>
      <c r="L81" s="12" t="s">
        <v>17</v>
      </c>
      <c r="M81" s="19"/>
      <c r="N81" s="12" t="s">
        <v>17</v>
      </c>
      <c r="O81" s="13"/>
      <c r="P81" s="12" t="s">
        <v>17</v>
      </c>
      <c r="R81" s="12" t="s">
        <v>17</v>
      </c>
      <c r="S81" s="13"/>
      <c r="T81" s="12" t="s">
        <v>17</v>
      </c>
      <c r="V81" s="745">
        <f>ROUND(W58*$D$81,-2)</f>
        <v>9900</v>
      </c>
      <c r="W81" s="13">
        <f>$Q$17</f>
        <v>100</v>
      </c>
      <c r="X81" s="14">
        <f>+V81*W81</f>
        <v>990000</v>
      </c>
      <c r="Z81" s="745">
        <f>ROUND(AA58*$D$81,-2)</f>
        <v>9900</v>
      </c>
      <c r="AA81" s="13">
        <f>$Q$17</f>
        <v>100</v>
      </c>
      <c r="AB81" s="14">
        <f>+Z81*AA81</f>
        <v>990000</v>
      </c>
    </row>
    <row r="82" spans="2:28" ht="24" customHeight="1">
      <c r="B82" s="23"/>
      <c r="C82" s="23" t="s">
        <v>522</v>
      </c>
      <c r="D82" s="1027"/>
      <c r="E82" s="181" t="s">
        <v>17</v>
      </c>
      <c r="F82" s="13"/>
      <c r="G82" s="12" t="s">
        <v>17</v>
      </c>
      <c r="H82" s="19"/>
      <c r="I82" s="12" t="s">
        <v>17</v>
      </c>
      <c r="J82" s="1012"/>
      <c r="K82" s="14"/>
      <c r="L82" s="12" t="s">
        <v>17</v>
      </c>
      <c r="M82" s="19"/>
      <c r="N82" s="12" t="s">
        <v>17</v>
      </c>
      <c r="O82" s="13"/>
      <c r="P82" s="12" t="s">
        <v>17</v>
      </c>
      <c r="R82" s="12" t="s">
        <v>17</v>
      </c>
      <c r="S82" s="13"/>
      <c r="T82" s="12" t="s">
        <v>17</v>
      </c>
      <c r="V82" s="745">
        <f>ROUND(W59*$D$81,-1)</f>
        <v>5600</v>
      </c>
      <c r="W82" s="13">
        <f>$Q$18</f>
        <v>70</v>
      </c>
      <c r="X82" s="14">
        <f>+V82*W82</f>
        <v>392000</v>
      </c>
      <c r="Z82" s="745">
        <f>ROUND(AA59*$D$81,-1)</f>
        <v>5600</v>
      </c>
      <c r="AA82" s="13">
        <f>$Q$18</f>
        <v>70</v>
      </c>
      <c r="AB82" s="14">
        <f>+Z82*AA82</f>
        <v>392000</v>
      </c>
    </row>
    <row r="83" spans="2:28" ht="45" customHeight="1">
      <c r="B83" s="23"/>
      <c r="C83" s="768" t="s">
        <v>8</v>
      </c>
      <c r="D83" s="788">
        <f>'Scenario Costs All Facilities'!$D$83</f>
        <v>5</v>
      </c>
      <c r="E83" s="347">
        <f>ROUND(((F54+F55/2)/O33)*$D$83,-2)</f>
        <v>1000</v>
      </c>
      <c r="F83" s="276">
        <f>$Q$33</f>
        <v>2000</v>
      </c>
      <c r="G83" s="276">
        <f>ROUND(+E83*F83,-3)</f>
        <v>2000000</v>
      </c>
      <c r="H83" s="19"/>
      <c r="I83" s="771" t="s">
        <v>17</v>
      </c>
      <c r="J83" s="1012"/>
      <c r="K83" s="14"/>
      <c r="L83" s="771" t="s">
        <v>17</v>
      </c>
      <c r="M83" s="19"/>
      <c r="N83" s="771" t="s">
        <v>17</v>
      </c>
      <c r="O83" s="14"/>
      <c r="P83" s="771" t="s">
        <v>17</v>
      </c>
      <c r="R83" s="771" t="s">
        <v>17</v>
      </c>
      <c r="S83" s="14"/>
      <c r="T83" s="771" t="s">
        <v>17</v>
      </c>
      <c r="V83" s="347">
        <f>ROUND(((W58+W59/2)/O34)*D83,-2)</f>
        <v>1000</v>
      </c>
      <c r="W83" s="276">
        <f>$Q$34</f>
        <v>2000</v>
      </c>
      <c r="X83" s="276">
        <f>ROUND(+V83*W83,-3)</f>
        <v>2000000</v>
      </c>
      <c r="Z83" s="854" t="s">
        <v>662</v>
      </c>
      <c r="AA83" s="276">
        <f>$Q$34</f>
        <v>2000</v>
      </c>
      <c r="AB83" s="856" t="s">
        <v>662</v>
      </c>
    </row>
    <row r="84" spans="2:28" ht="21.75" customHeight="1">
      <c r="B84" s="11" t="s">
        <v>10</v>
      </c>
      <c r="C84" s="23"/>
      <c r="D84" s="54"/>
      <c r="E84" s="11"/>
      <c r="F84" s="11"/>
      <c r="G84" s="15">
        <f>SUM(G71:G83)</f>
        <v>2810000</v>
      </c>
      <c r="H84" s="21"/>
      <c r="I84" s="11"/>
      <c r="J84" s="1012"/>
      <c r="K84" s="11"/>
      <c r="L84" s="15">
        <f>SUM(L71:L83)</f>
        <v>4823750</v>
      </c>
      <c r="M84" s="21"/>
      <c r="N84" s="11"/>
      <c r="O84" s="11"/>
      <c r="P84" s="15">
        <f>SUM(P71:P83)</f>
        <v>5212000</v>
      </c>
      <c r="R84" s="11"/>
      <c r="S84" s="11"/>
      <c r="T84" s="15">
        <f>SUM(T71:T83)</f>
        <v>6650000</v>
      </c>
      <c r="V84" s="11"/>
      <c r="W84" s="11"/>
      <c r="X84" s="15">
        <f>SUM(X71:X83)</f>
        <v>4192000</v>
      </c>
      <c r="Z84" s="11"/>
      <c r="AA84" s="11"/>
      <c r="AB84" s="15">
        <f>SUM(AB71:AB83)</f>
        <v>2392000</v>
      </c>
    </row>
    <row r="85" spans="8:13" ht="12.75">
      <c r="H85" s="22"/>
      <c r="J85" s="1012"/>
      <c r="M85" s="22"/>
    </row>
    <row r="86" spans="2:13" ht="16.5" customHeight="1">
      <c r="B86" s="1" t="s">
        <v>11</v>
      </c>
      <c r="H86" s="22"/>
      <c r="J86" s="1012"/>
      <c r="M86" s="22"/>
    </row>
    <row r="87" spans="2:28" ht="30.75" customHeight="1">
      <c r="B87" s="275" t="s">
        <v>6</v>
      </c>
      <c r="C87" s="23"/>
      <c r="D87" s="278" t="s">
        <v>229</v>
      </c>
      <c r="E87" s="342" t="s">
        <v>251</v>
      </c>
      <c r="F87" s="790">
        <f>+$Q$45</f>
        <v>0.12</v>
      </c>
      <c r="G87" s="276">
        <f>ROUND(+G84*F87/12,-2)</f>
        <v>28100</v>
      </c>
      <c r="H87" s="20"/>
      <c r="I87" s="276"/>
      <c r="J87" s="1012"/>
      <c r="K87" s="793">
        <f>+F87</f>
        <v>0.12</v>
      </c>
      <c r="L87" s="276">
        <f>ROUND(+L84*K87/12,-3)</f>
        <v>48000</v>
      </c>
      <c r="M87" s="20"/>
      <c r="N87" s="276"/>
      <c r="O87" s="793">
        <f>+F87</f>
        <v>0.12</v>
      </c>
      <c r="P87" s="276">
        <f>ROUND(+P84*O87/12,-3)</f>
        <v>52000</v>
      </c>
      <c r="R87" s="276"/>
      <c r="S87" s="793">
        <f>+F87</f>
        <v>0.12</v>
      </c>
      <c r="T87" s="276">
        <f>ROUND(+T84*S87/12,-3)</f>
        <v>67000</v>
      </c>
      <c r="V87" s="276"/>
      <c r="W87" s="791">
        <f>+$Q$45</f>
        <v>0.12</v>
      </c>
      <c r="X87" s="276">
        <f>ROUND(+X84*W87/12,-3)</f>
        <v>42000</v>
      </c>
      <c r="Z87" s="276"/>
      <c r="AA87" s="791">
        <f>+$Q$45</f>
        <v>0.12</v>
      </c>
      <c r="AB87" s="276">
        <f>ROUND(+AB84*AA87/12,-3)</f>
        <v>24000</v>
      </c>
    </row>
    <row r="88" spans="2:28" ht="44.25" customHeight="1">
      <c r="B88" s="986" t="s">
        <v>531</v>
      </c>
      <c r="C88" s="1005"/>
      <c r="D88" s="787">
        <f>'Scenario Costs All Facilities'!$D$88</f>
        <v>10</v>
      </c>
      <c r="E88" s="277" t="s">
        <v>230</v>
      </c>
      <c r="F88" s="792">
        <f>'Scenario Costs All Facilities'!$F$88</f>
        <v>0.1</v>
      </c>
      <c r="G88" s="276">
        <f>ROUND(+G84*$F88/12,-2)</f>
        <v>23400</v>
      </c>
      <c r="H88" s="20"/>
      <c r="I88" s="5"/>
      <c r="J88" s="1012"/>
      <c r="K88" s="5"/>
      <c r="L88" s="276">
        <f>ROUND((+L84-L79)*$F88/12,-2)</f>
        <v>23400</v>
      </c>
      <c r="M88" s="20"/>
      <c r="N88" s="5"/>
      <c r="O88" s="5"/>
      <c r="P88" s="276">
        <f>ROUND((+P84-P80)*$F88/12,-2)</f>
        <v>22800</v>
      </c>
      <c r="R88" s="5"/>
      <c r="S88" s="5"/>
      <c r="T88" s="276">
        <f>ROUND((+T84-T80)*$F88/12,-2)</f>
        <v>22800</v>
      </c>
      <c r="V88" s="5"/>
      <c r="W88" s="5"/>
      <c r="X88" s="276">
        <f>ROUND((X84-X81-X82)*$F88/12,-2)</f>
        <v>23400</v>
      </c>
      <c r="Z88" s="5"/>
      <c r="AA88" s="5"/>
      <c r="AB88" s="276">
        <f>ROUND((AB84-AB81-AB82)*$F88/12,-2)</f>
        <v>8400</v>
      </c>
    </row>
    <row r="89" spans="2:28" ht="44.25" customHeight="1">
      <c r="B89" s="986" t="s">
        <v>536</v>
      </c>
      <c r="C89" s="1005"/>
      <c r="D89" s="787">
        <f>'Scenario Costs All Facilities'!$D$89</f>
        <v>150</v>
      </c>
      <c r="E89" s="277" t="s">
        <v>230</v>
      </c>
      <c r="F89" s="295"/>
      <c r="G89" s="276"/>
      <c r="H89" s="20"/>
      <c r="I89" s="5"/>
      <c r="J89" s="1012"/>
      <c r="K89" s="792">
        <f>'Scenario Costs All Facilities'!$K$89</f>
        <v>0.24</v>
      </c>
      <c r="L89" s="276">
        <f>ROUND(L79*K89/12,-2)</f>
        <v>40200</v>
      </c>
      <c r="M89" s="20"/>
      <c r="N89" s="5"/>
      <c r="O89" s="792">
        <f>'Scenario Costs All Facilities'!$O$89</f>
        <v>0.3</v>
      </c>
      <c r="P89" s="276">
        <f>ROUND(P80*O89/12,-2)</f>
        <v>62100</v>
      </c>
      <c r="R89" s="5"/>
      <c r="S89" s="792">
        <f>'Scenario Costs All Facilities'!$O$89</f>
        <v>0.3</v>
      </c>
      <c r="T89" s="276">
        <f>ROUND(T80*S89/12,-2)</f>
        <v>98000</v>
      </c>
      <c r="V89" s="5"/>
      <c r="W89" s="792">
        <f>'Scenario Costs All Facilities'!$W$89</f>
        <v>0.3</v>
      </c>
      <c r="X89" s="276">
        <f>ROUND((X81+X82)*W89/12,-2)</f>
        <v>34600</v>
      </c>
      <c r="Z89" s="5"/>
      <c r="AA89" s="792">
        <f>'Scenario Costs All Facilities'!$W$89</f>
        <v>0.3</v>
      </c>
      <c r="AB89" s="276">
        <f>ROUND((AB81+AB82)*AA89/12,-2)</f>
        <v>34600</v>
      </c>
    </row>
    <row r="90" spans="2:28" ht="12.75">
      <c r="B90" s="5" t="s">
        <v>12</v>
      </c>
      <c r="C90" s="23"/>
      <c r="D90" s="24"/>
      <c r="E90" s="8">
        <f>ROUND('HCRW generation data'!$D$9*(1+$D$9)/30/$O$39,-1)</f>
        <v>70</v>
      </c>
      <c r="F90" s="14">
        <f>$Q$39</f>
        <v>3000</v>
      </c>
      <c r="G90" s="14">
        <f>+E90*F90</f>
        <v>210000</v>
      </c>
      <c r="H90" s="18"/>
      <c r="I90" s="8">
        <f>ROUND('HCRW generation data'!$D$9*(1+$D$9)/30/$O$42,-1)</f>
        <v>100</v>
      </c>
      <c r="J90" s="1012"/>
      <c r="K90" s="14">
        <f>$Q$39</f>
        <v>3000</v>
      </c>
      <c r="L90" s="14">
        <f>+I90*K90</f>
        <v>300000</v>
      </c>
      <c r="M90" s="18"/>
      <c r="N90" s="8">
        <f>ROUND(+'HCRW generation data'!$D$9*(1+$D$9)/30/$O$44,-1)</f>
        <v>60</v>
      </c>
      <c r="O90" s="14">
        <f>$Q$39</f>
        <v>3000</v>
      </c>
      <c r="P90" s="14">
        <f>ROUND(+N90*O90,-3)</f>
        <v>180000</v>
      </c>
      <c r="R90" s="8">
        <f>ROUND(+'HCRW generation data'!$D$9*(1+$D$9)/30/$O$43,-1)</f>
        <v>70</v>
      </c>
      <c r="S90" s="14">
        <f>$Q$39</f>
        <v>3000</v>
      </c>
      <c r="T90" s="14">
        <f>ROUND(+R90*S90,-3)</f>
        <v>210000</v>
      </c>
      <c r="V90" s="8">
        <f>ROUND(+'HCRW generation data'!$D$9*(1+$D$9)/30/$O$40,-1)</f>
        <v>120</v>
      </c>
      <c r="W90" s="14">
        <f>$Q$39</f>
        <v>3000</v>
      </c>
      <c r="X90" s="14">
        <f>ROUND(+V90*W90,-3)</f>
        <v>360000</v>
      </c>
      <c r="Z90" s="8">
        <f>ROUND(+'HCRW generation data'!$D$9*(1+$D$9)/30/$O$41,-1)</f>
        <v>130</v>
      </c>
      <c r="AA90" s="14">
        <f>$Q$39</f>
        <v>3000</v>
      </c>
      <c r="AB90" s="14">
        <f>ROUND(+Z90*AA90,-3)</f>
        <v>390000</v>
      </c>
    </row>
    <row r="91" spans="2:28" ht="12.75">
      <c r="B91" s="5" t="s">
        <v>13</v>
      </c>
      <c r="C91" s="23"/>
      <c r="D91" s="24"/>
      <c r="E91" s="5"/>
      <c r="F91" s="5"/>
      <c r="G91" s="5"/>
      <c r="H91" s="18"/>
      <c r="I91" s="5"/>
      <c r="J91" s="1012"/>
      <c r="K91" s="5"/>
      <c r="L91" s="5"/>
      <c r="M91" s="18"/>
      <c r="N91" s="5"/>
      <c r="O91" s="5"/>
      <c r="P91" s="5"/>
      <c r="R91" s="5"/>
      <c r="S91" s="5"/>
      <c r="T91" s="5"/>
      <c r="V91" s="5"/>
      <c r="W91" s="5"/>
      <c r="X91" s="5"/>
      <c r="Z91" s="5"/>
      <c r="AA91" s="5"/>
      <c r="AB91" s="5"/>
    </row>
    <row r="92" spans="2:28" ht="12.75">
      <c r="B92" s="23"/>
      <c r="C92" s="24" t="s">
        <v>21</v>
      </c>
      <c r="D92" s="24"/>
      <c r="E92" s="8">
        <f>+G54</f>
        <v>39300</v>
      </c>
      <c r="F92" s="13">
        <f>+$Q$7</f>
        <v>11.5</v>
      </c>
      <c r="G92" s="14">
        <f>ROUND(+E92*F92,-3)</f>
        <v>452000</v>
      </c>
      <c r="H92" s="20"/>
      <c r="I92" s="5"/>
      <c r="J92" s="1012"/>
      <c r="K92" s="13"/>
      <c r="L92" s="5"/>
      <c r="M92" s="18"/>
      <c r="N92" s="5"/>
      <c r="O92" s="13"/>
      <c r="P92" s="5"/>
      <c r="R92" s="5"/>
      <c r="S92" s="13"/>
      <c r="T92" s="5"/>
      <c r="V92" s="12" t="s">
        <v>17</v>
      </c>
      <c r="W92" s="5"/>
      <c r="X92" s="12" t="s">
        <v>17</v>
      </c>
      <c r="Z92" s="12" t="s">
        <v>17</v>
      </c>
      <c r="AA92" s="5"/>
      <c r="AB92" s="12" t="s">
        <v>17</v>
      </c>
    </row>
    <row r="93" spans="2:28" ht="12.75">
      <c r="B93" s="23"/>
      <c r="C93" s="24" t="s">
        <v>22</v>
      </c>
      <c r="D93" s="24"/>
      <c r="E93" s="8">
        <f>+G61</f>
        <v>1800</v>
      </c>
      <c r="F93" s="13">
        <f>+$Q$8</f>
        <v>6.2</v>
      </c>
      <c r="G93" s="14">
        <f>ROUND(+E93*F93,-3)</f>
        <v>11000</v>
      </c>
      <c r="H93" s="20"/>
      <c r="I93" s="5"/>
      <c r="J93" s="1012"/>
      <c r="K93" s="13"/>
      <c r="L93" s="5"/>
      <c r="M93" s="18"/>
      <c r="N93" s="5"/>
      <c r="O93" s="13"/>
      <c r="P93" s="5"/>
      <c r="R93" s="5"/>
      <c r="S93" s="13"/>
      <c r="T93" s="5"/>
      <c r="V93" s="12" t="s">
        <v>17</v>
      </c>
      <c r="W93" s="5"/>
      <c r="X93" s="12" t="s">
        <v>17</v>
      </c>
      <c r="Z93" s="12" t="s">
        <v>17</v>
      </c>
      <c r="AA93" s="5"/>
      <c r="AB93" s="12" t="s">
        <v>17</v>
      </c>
    </row>
    <row r="94" spans="2:28" ht="12.75">
      <c r="B94" s="23"/>
      <c r="C94" s="24" t="s">
        <v>23</v>
      </c>
      <c r="D94" s="5"/>
      <c r="E94" s="12" t="s">
        <v>17</v>
      </c>
      <c r="F94" s="13"/>
      <c r="G94" s="12" t="s">
        <v>17</v>
      </c>
      <c r="H94" s="19"/>
      <c r="I94" s="8">
        <f>+L61</f>
        <v>1400</v>
      </c>
      <c r="J94" s="1012"/>
      <c r="K94" s="13">
        <f>$Q$11</f>
        <v>26.22</v>
      </c>
      <c r="L94" s="14">
        <f>ROUND(+I94*K94,-3)</f>
        <v>37000</v>
      </c>
      <c r="M94" s="20"/>
      <c r="N94" s="8">
        <f>+P61</f>
        <v>1400</v>
      </c>
      <c r="O94" s="13">
        <f>$Q$11</f>
        <v>26.22</v>
      </c>
      <c r="P94" s="14">
        <f>ROUND(+N94*O94,-3)</f>
        <v>37000</v>
      </c>
      <c r="R94" s="8">
        <f>+T61</f>
        <v>1400</v>
      </c>
      <c r="S94" s="13">
        <f>$Q$11</f>
        <v>26.22</v>
      </c>
      <c r="T94" s="14">
        <f>ROUND(+R94*S94,-3)</f>
        <v>37000</v>
      </c>
      <c r="V94" s="12" t="s">
        <v>17</v>
      </c>
      <c r="W94" s="13">
        <f>$Q$11</f>
        <v>26.22</v>
      </c>
      <c r="X94" s="12" t="s">
        <v>17</v>
      </c>
      <c r="Z94" s="12" t="s">
        <v>17</v>
      </c>
      <c r="AA94" s="13">
        <f>$Q$11</f>
        <v>26.22</v>
      </c>
      <c r="AB94" s="12" t="s">
        <v>17</v>
      </c>
    </row>
    <row r="95" spans="2:28" ht="12.75">
      <c r="B95" s="23"/>
      <c r="C95" s="24" t="s">
        <v>154</v>
      </c>
      <c r="D95" s="24"/>
      <c r="E95" s="8">
        <f>+G63</f>
        <v>13700</v>
      </c>
      <c r="F95" s="13">
        <f>+$Q$12</f>
        <v>12</v>
      </c>
      <c r="G95" s="14">
        <f>ROUND(+E95*F95,-3)</f>
        <v>164000</v>
      </c>
      <c r="H95" s="18"/>
      <c r="I95" s="8">
        <f>+L63</f>
        <v>13700</v>
      </c>
      <c r="J95" s="1012"/>
      <c r="K95" s="13">
        <f>+$Q$12</f>
        <v>12</v>
      </c>
      <c r="L95" s="14">
        <f>ROUND(+I95*K95,-3)</f>
        <v>164000</v>
      </c>
      <c r="M95" s="20"/>
      <c r="N95" s="8">
        <f>+P63</f>
        <v>13700</v>
      </c>
      <c r="O95" s="13">
        <f>+$Q$12</f>
        <v>12</v>
      </c>
      <c r="P95" s="14">
        <f>ROUND(+N95*O95,-3)</f>
        <v>164000</v>
      </c>
      <c r="R95" s="8">
        <f>+T63</f>
        <v>13700</v>
      </c>
      <c r="S95" s="13">
        <f>+$Q$12</f>
        <v>12</v>
      </c>
      <c r="T95" s="14">
        <f>ROUND(+R95*S95,-3)</f>
        <v>164000</v>
      </c>
      <c r="V95" s="745">
        <f>X63</f>
        <v>13700</v>
      </c>
      <c r="W95" s="13">
        <f>+$Q$12</f>
        <v>12</v>
      </c>
      <c r="X95" s="14">
        <f>ROUND(+V95*W95,-3)</f>
        <v>164000</v>
      </c>
      <c r="Z95" s="745">
        <f>AB63</f>
        <v>13700</v>
      </c>
      <c r="AA95" s="13">
        <f>+$Q$12</f>
        <v>12</v>
      </c>
      <c r="AB95" s="14">
        <f>ROUND(+Z95*AA95,-3)</f>
        <v>164000</v>
      </c>
    </row>
    <row r="96" spans="2:28" ht="12.75">
      <c r="B96" s="23"/>
      <c r="C96" s="24" t="s">
        <v>583</v>
      </c>
      <c r="D96" s="24"/>
      <c r="E96" s="12" t="s">
        <v>17</v>
      </c>
      <c r="F96" s="13"/>
      <c r="G96" s="12" t="s">
        <v>17</v>
      </c>
      <c r="H96" s="18"/>
      <c r="I96" s="8">
        <f>L54</f>
        <v>51000</v>
      </c>
      <c r="J96" s="1012"/>
      <c r="K96" s="13">
        <f>$Q$20</f>
        <v>0.39</v>
      </c>
      <c r="L96" s="14">
        <f>ROUND(+I96*K96,-3)</f>
        <v>20000</v>
      </c>
      <c r="M96" s="20"/>
      <c r="N96" s="8">
        <f>P54</f>
        <v>51000</v>
      </c>
      <c r="O96" s="13">
        <f>$Q$20</f>
        <v>0.39</v>
      </c>
      <c r="P96" s="14">
        <f>ROUND(+N96*O96,-3)</f>
        <v>20000</v>
      </c>
      <c r="R96" s="8">
        <f>T54</f>
        <v>51000</v>
      </c>
      <c r="S96" s="13">
        <f>$Q$20</f>
        <v>0.39</v>
      </c>
      <c r="T96" s="14">
        <f>ROUND(+R96*S96,-3)</f>
        <v>20000</v>
      </c>
      <c r="V96" s="745">
        <f>X54</f>
        <v>51000</v>
      </c>
      <c r="W96" s="13">
        <f>$Q$20</f>
        <v>0.39</v>
      </c>
      <c r="X96" s="14">
        <f>ROUND(+V96*W96,-3)</f>
        <v>20000</v>
      </c>
      <c r="Z96" s="745">
        <f>AB54</f>
        <v>51000</v>
      </c>
      <c r="AA96" s="13">
        <f>$Q$20</f>
        <v>0.39</v>
      </c>
      <c r="AB96" s="14">
        <f>ROUND(+Z96*AA96,-3)</f>
        <v>20000</v>
      </c>
    </row>
    <row r="97" spans="2:28" ht="12" customHeight="1">
      <c r="B97" s="23"/>
      <c r="C97" s="24" t="s">
        <v>584</v>
      </c>
      <c r="D97" s="24"/>
      <c r="E97" s="745">
        <f>G55</f>
        <v>71000</v>
      </c>
      <c r="F97" s="13">
        <f>$Q$21</f>
        <v>0.7</v>
      </c>
      <c r="G97" s="14">
        <f>ROUND(+E97*F97,-3)</f>
        <v>50000</v>
      </c>
      <c r="H97" s="19"/>
      <c r="I97" s="8">
        <f>L55</f>
        <v>71000</v>
      </c>
      <c r="J97" s="1012"/>
      <c r="K97" s="13">
        <f>$Q$21</f>
        <v>0.7</v>
      </c>
      <c r="L97" s="14">
        <f>ROUND(+I97*K97,-3)</f>
        <v>50000</v>
      </c>
      <c r="M97" s="20"/>
      <c r="N97" s="8">
        <f>P55</f>
        <v>71000</v>
      </c>
      <c r="O97" s="13">
        <f>$Q$21</f>
        <v>0.7</v>
      </c>
      <c r="P97" s="14">
        <f>ROUND(+N97*O97,-3)</f>
        <v>50000</v>
      </c>
      <c r="R97" s="8">
        <f>T55</f>
        <v>71000</v>
      </c>
      <c r="S97" s="13">
        <f>$Q$21</f>
        <v>0.7</v>
      </c>
      <c r="T97" s="14">
        <f>ROUND(+R97*S97,-3)</f>
        <v>50000</v>
      </c>
      <c r="V97" s="745">
        <f>X55</f>
        <v>71000</v>
      </c>
      <c r="W97" s="13">
        <f>$Q$21</f>
        <v>0.7</v>
      </c>
      <c r="X97" s="14">
        <f>ROUND(+V97*W97,-3)</f>
        <v>50000</v>
      </c>
      <c r="Z97" s="745">
        <f>AB55</f>
        <v>71000</v>
      </c>
      <c r="AA97" s="13">
        <f>$Q$21</f>
        <v>0.7</v>
      </c>
      <c r="AB97" s="14">
        <f>ROUND(+Z97*AA97,-3)</f>
        <v>50000</v>
      </c>
    </row>
    <row r="98" spans="2:28" ht="12" customHeight="1">
      <c r="B98" s="23"/>
      <c r="C98" s="24" t="s">
        <v>586</v>
      </c>
      <c r="D98" s="24"/>
      <c r="E98" s="12" t="s">
        <v>17</v>
      </c>
      <c r="F98" s="13"/>
      <c r="G98" s="12" t="s">
        <v>17</v>
      </c>
      <c r="H98" s="19"/>
      <c r="I98" s="12" t="s">
        <v>17</v>
      </c>
      <c r="J98" s="1012"/>
      <c r="K98" s="13"/>
      <c r="L98" s="12" t="s">
        <v>17</v>
      </c>
      <c r="M98" s="20"/>
      <c r="N98" s="12" t="s">
        <v>17</v>
      </c>
      <c r="O98" s="13"/>
      <c r="P98" s="12" t="s">
        <v>17</v>
      </c>
      <c r="R98" s="12" t="s">
        <v>17</v>
      </c>
      <c r="S98" s="13"/>
      <c r="T98" s="12" t="s">
        <v>17</v>
      </c>
      <c r="V98" s="745">
        <f>X56</f>
        <v>22000</v>
      </c>
      <c r="W98" s="13">
        <f>$Q$22</f>
        <v>1.12</v>
      </c>
      <c r="X98" s="14">
        <f>ROUND(+V98*W98,-3)</f>
        <v>25000</v>
      </c>
      <c r="Z98" s="745">
        <f>AB56</f>
        <v>22000</v>
      </c>
      <c r="AA98" s="13">
        <f>$Q$22</f>
        <v>1.12</v>
      </c>
      <c r="AB98" s="14">
        <f>ROUND(+Z98*AA98,-3)</f>
        <v>25000</v>
      </c>
    </row>
    <row r="99" spans="2:28" ht="12.75">
      <c r="B99" s="23"/>
      <c r="C99" s="24" t="s">
        <v>585</v>
      </c>
      <c r="D99" s="24"/>
      <c r="E99" s="12" t="s">
        <v>17</v>
      </c>
      <c r="F99" s="13"/>
      <c r="G99" s="12" t="s">
        <v>17</v>
      </c>
      <c r="H99" s="19"/>
      <c r="I99" s="745">
        <f>L56</f>
        <v>71000</v>
      </c>
      <c r="J99" s="1012"/>
      <c r="K99" s="13">
        <f>$Q$23</f>
        <v>1.8</v>
      </c>
      <c r="L99" s="14">
        <f>ROUND(+I99*K99,-3)</f>
        <v>128000</v>
      </c>
      <c r="M99" s="20"/>
      <c r="N99" s="745">
        <f>P56</f>
        <v>71000</v>
      </c>
      <c r="O99" s="13">
        <f>$Q$23</f>
        <v>1.8</v>
      </c>
      <c r="P99" s="14">
        <f>ROUND(+N99*O99,-3)</f>
        <v>128000</v>
      </c>
      <c r="R99" s="745">
        <f>T56</f>
        <v>71000</v>
      </c>
      <c r="S99" s="13">
        <f>$Q$23</f>
        <v>1.8</v>
      </c>
      <c r="T99" s="14">
        <f>ROUND(+R99*S99,-3)</f>
        <v>128000</v>
      </c>
      <c r="V99" s="12" t="s">
        <v>17</v>
      </c>
      <c r="W99" s="13">
        <f>$Q$23</f>
        <v>1.8</v>
      </c>
      <c r="X99" s="12" t="s">
        <v>17</v>
      </c>
      <c r="Z99" s="12" t="s">
        <v>17</v>
      </c>
      <c r="AA99" s="13">
        <f>$Q$23</f>
        <v>1.8</v>
      </c>
      <c r="AB99" s="12" t="s">
        <v>17</v>
      </c>
    </row>
    <row r="100" spans="2:28" ht="12.75">
      <c r="B100" s="23"/>
      <c r="C100" s="24" t="s">
        <v>587</v>
      </c>
      <c r="D100" s="24"/>
      <c r="E100" s="12" t="s">
        <v>17</v>
      </c>
      <c r="F100" s="13"/>
      <c r="G100" s="12" t="s">
        <v>17</v>
      </c>
      <c r="H100" s="19"/>
      <c r="I100" s="12" t="s">
        <v>17</v>
      </c>
      <c r="J100" s="1012"/>
      <c r="K100" s="13"/>
      <c r="L100" s="12" t="s">
        <v>17</v>
      </c>
      <c r="M100" s="20"/>
      <c r="N100" s="12" t="s">
        <v>17</v>
      </c>
      <c r="O100" s="13"/>
      <c r="P100" s="12" t="s">
        <v>17</v>
      </c>
      <c r="R100" s="12" t="s">
        <v>17</v>
      </c>
      <c r="S100" s="13"/>
      <c r="T100" s="12" t="s">
        <v>17</v>
      </c>
      <c r="V100" s="8">
        <f>X57</f>
        <v>39000</v>
      </c>
      <c r="W100" s="13">
        <f>$Q$24</f>
        <v>1.5</v>
      </c>
      <c r="X100" s="14">
        <f>ROUND(+V100*W100,-3)</f>
        <v>59000</v>
      </c>
      <c r="Z100" s="8">
        <f>AB57</f>
        <v>39000</v>
      </c>
      <c r="AA100" s="13">
        <f>$Q$24</f>
        <v>1.5</v>
      </c>
      <c r="AB100" s="14">
        <f>ROUND(+Z100*AA100,-3)</f>
        <v>59000</v>
      </c>
    </row>
    <row r="101" spans="2:28" ht="12.75">
      <c r="B101" s="23"/>
      <c r="C101" s="24" t="s">
        <v>588</v>
      </c>
      <c r="D101" s="24"/>
      <c r="E101" s="12" t="s">
        <v>17</v>
      </c>
      <c r="F101" s="13"/>
      <c r="G101" s="12" t="s">
        <v>17</v>
      </c>
      <c r="H101" s="19"/>
      <c r="I101" s="8">
        <f>L57</f>
        <v>20100</v>
      </c>
      <c r="J101" s="1012"/>
      <c r="K101" s="13">
        <f>$Q$25</f>
        <v>1.8</v>
      </c>
      <c r="L101" s="14">
        <f>ROUND(+I101*K101,-3)</f>
        <v>36000</v>
      </c>
      <c r="M101" s="20"/>
      <c r="N101" s="12" t="s">
        <v>17</v>
      </c>
      <c r="O101" s="13"/>
      <c r="P101" s="12" t="s">
        <v>17</v>
      </c>
      <c r="R101" s="12" t="s">
        <v>17</v>
      </c>
      <c r="S101" s="13"/>
      <c r="T101" s="12" t="s">
        <v>17</v>
      </c>
      <c r="V101" s="12" t="s">
        <v>17</v>
      </c>
      <c r="W101" s="13">
        <f>$Q$25</f>
        <v>1.8</v>
      </c>
      <c r="X101" s="12" t="s">
        <v>17</v>
      </c>
      <c r="Z101" s="12" t="s">
        <v>17</v>
      </c>
      <c r="AA101" s="13">
        <f>$Q$25</f>
        <v>1.8</v>
      </c>
      <c r="AB101" s="12" t="s">
        <v>17</v>
      </c>
    </row>
    <row r="102" spans="2:28" ht="37.5" customHeight="1">
      <c r="B102" s="986" t="s">
        <v>532</v>
      </c>
      <c r="C102" s="987"/>
      <c r="D102" s="320"/>
      <c r="E102" s="807">
        <f>'Scenario Costs All Facilities'!E102</f>
        <v>0.05</v>
      </c>
      <c r="F102" s="13"/>
      <c r="G102" s="276">
        <f>ROUND(+G84*$E102/12,-2)</f>
        <v>11700</v>
      </c>
      <c r="H102" s="18"/>
      <c r="I102" s="5"/>
      <c r="J102" s="1013"/>
      <c r="K102" s="5"/>
      <c r="L102" s="276">
        <f>ROUND(+(L84-L79)*$E102/12,-2)</f>
        <v>11700</v>
      </c>
      <c r="M102" s="18"/>
      <c r="N102" s="5"/>
      <c r="O102" s="5"/>
      <c r="P102" s="276">
        <f>ROUND(+(P84-P80)*$E102/12,-2)</f>
        <v>11400</v>
      </c>
      <c r="R102" s="5"/>
      <c r="S102" s="5"/>
      <c r="T102" s="276">
        <f>ROUND(+(T84-T80)*$E102/12,-2)</f>
        <v>11400</v>
      </c>
      <c r="V102" s="5"/>
      <c r="W102" s="5"/>
      <c r="X102" s="276">
        <f>ROUND(+(X84-X81-X82)*$E102/12,-2)</f>
        <v>11700</v>
      </c>
      <c r="Z102" s="5"/>
      <c r="AA102" s="5"/>
      <c r="AB102" s="276">
        <f>ROUND(+(AB84-AB81-AB82)*$E102/12,-2)</f>
        <v>4200</v>
      </c>
    </row>
    <row r="103" spans="2:28" ht="18.75" customHeight="1">
      <c r="B103" s="3" t="s">
        <v>39</v>
      </c>
      <c r="C103" s="23"/>
      <c r="D103" s="25"/>
      <c r="E103" s="25"/>
      <c r="F103" s="24"/>
      <c r="G103" s="15">
        <f>SUM(G87:G102)</f>
        <v>950200</v>
      </c>
      <c r="H103" s="21"/>
      <c r="I103" s="26"/>
      <c r="J103" s="53"/>
      <c r="K103" s="27"/>
      <c r="L103" s="15">
        <f>SUM(L87:L102)</f>
        <v>858300</v>
      </c>
      <c r="M103" s="21"/>
      <c r="N103" s="26"/>
      <c r="O103" s="27"/>
      <c r="P103" s="15">
        <f>SUM(P87:P102)</f>
        <v>727300</v>
      </c>
      <c r="R103" s="26"/>
      <c r="S103" s="27"/>
      <c r="T103" s="15">
        <f>SUM(T87:T102)</f>
        <v>808200</v>
      </c>
      <c r="V103" s="26"/>
      <c r="W103" s="27"/>
      <c r="X103" s="15">
        <f>SUM(X87:X102)</f>
        <v>789700</v>
      </c>
      <c r="Z103" s="26"/>
      <c r="AA103" s="27"/>
      <c r="AB103" s="15">
        <f>SUM(AB87:AB102)</f>
        <v>779200</v>
      </c>
    </row>
    <row r="104" ht="12.75">
      <c r="B104" s="1"/>
    </row>
    <row r="105" ht="12.75">
      <c r="B105" s="1"/>
    </row>
    <row r="106" spans="1:29" ht="27.75" customHeight="1">
      <c r="A106" s="32" t="s">
        <v>523</v>
      </c>
      <c r="H106" s="1007" t="s">
        <v>238</v>
      </c>
      <c r="M106" s="1007" t="s">
        <v>238</v>
      </c>
      <c r="Q106" s="956" t="s">
        <v>238</v>
      </c>
      <c r="R106" s="821"/>
      <c r="U106" s="956" t="s">
        <v>238</v>
      </c>
      <c r="Y106" s="956" t="s">
        <v>238</v>
      </c>
      <c r="AC106" s="956" t="s">
        <v>238</v>
      </c>
    </row>
    <row r="107" spans="3:29" ht="42" customHeight="1">
      <c r="C107" s="7" t="s">
        <v>161</v>
      </c>
      <c r="D107" s="7" t="s">
        <v>82</v>
      </c>
      <c r="F107" s="7" t="s">
        <v>188</v>
      </c>
      <c r="G107" s="7" t="s">
        <v>153</v>
      </c>
      <c r="H107" s="1007"/>
      <c r="K107" s="7" t="s">
        <v>188</v>
      </c>
      <c r="L107" s="7" t="s">
        <v>153</v>
      </c>
      <c r="M107" s="1007"/>
      <c r="O107" s="7" t="s">
        <v>188</v>
      </c>
      <c r="P107" s="7" t="s">
        <v>153</v>
      </c>
      <c r="Q107" s="956"/>
      <c r="R107" s="821"/>
      <c r="S107" s="7" t="s">
        <v>188</v>
      </c>
      <c r="T107" s="7" t="s">
        <v>153</v>
      </c>
      <c r="U107" s="956"/>
      <c r="W107" s="7" t="s">
        <v>188</v>
      </c>
      <c r="X107" s="7" t="s">
        <v>153</v>
      </c>
      <c r="Y107" s="956"/>
      <c r="AA107" s="7" t="s">
        <v>188</v>
      </c>
      <c r="AB107" s="7" t="s">
        <v>153</v>
      </c>
      <c r="AC107" s="956"/>
    </row>
    <row r="108" spans="3:29" ht="12.75">
      <c r="C108" s="145">
        <v>1</v>
      </c>
      <c r="D108" s="5">
        <v>80</v>
      </c>
      <c r="F108" s="131">
        <f>MIN('Transport Costs'!E145:I145)</f>
        <v>6.75</v>
      </c>
      <c r="G108" s="15">
        <f>ROUND(+F108*(G$54+G$61/2),-3)</f>
        <v>271000</v>
      </c>
      <c r="H108" s="301">
        <f>+G108*12/'Transport Costs'!L126</f>
        <v>7.99931742899505</v>
      </c>
      <c r="K108" s="131">
        <f>MIN('Transport Costs'!F147:I147)</f>
        <v>20.6</v>
      </c>
      <c r="L108" s="15">
        <f>ROUND(+K108*L$65,-3)</f>
        <v>414000</v>
      </c>
      <c r="M108" s="301">
        <f>L108*12/'Transport Costs'!L127</f>
        <v>14.375878901646558</v>
      </c>
      <c r="O108" s="131">
        <f>MIN('Transport Costs'!$F148:$I148)</f>
        <v>53.5625</v>
      </c>
      <c r="P108" s="15">
        <f>ROUND(+O108*P$65,-3)</f>
        <v>273000</v>
      </c>
      <c r="Q108" s="302">
        <f>P108*12/'Transport Costs'!$L128</f>
        <v>9.479746232245194</v>
      </c>
      <c r="R108" s="302"/>
      <c r="S108" s="131">
        <f>MIN('Transport Costs'!$F149:$I149)</f>
        <v>53.5625</v>
      </c>
      <c r="T108" s="15">
        <f>ROUND(+S108*T$65,-3)</f>
        <v>321000</v>
      </c>
      <c r="U108" s="302">
        <f>T108*12/'Transport Costs'!$L129</f>
        <v>11.146514800552042</v>
      </c>
      <c r="W108" s="131">
        <f>MIN('Transport Costs'!E146:I146)</f>
        <v>10.1125</v>
      </c>
      <c r="X108" s="15">
        <f>ROUND(+W108*(X$58+X$59/2),-3)</f>
        <v>480000</v>
      </c>
      <c r="Y108" s="302">
        <f>+X108*12/'Transport Costs'!L126</f>
        <v>14.168532715563188</v>
      </c>
      <c r="AA108" s="131">
        <f>MIN('Transport Costs'!E144:I144)</f>
        <v>6.5375000000000005</v>
      </c>
      <c r="AB108" s="15">
        <f>ROUND(+AA108*(AB$58+AB$59/2),-3)</f>
        <v>311000</v>
      </c>
      <c r="AC108" s="302">
        <f>+AB108*12/'Transport Costs'!L125</f>
        <v>11.890841312070862</v>
      </c>
    </row>
    <row r="109" spans="3:29" ht="12.75">
      <c r="C109" s="145">
        <v>3</v>
      </c>
      <c r="D109" s="5">
        <v>57</v>
      </c>
      <c r="F109" s="131">
        <f>MIN('Transport Costs'!E192:I192)</f>
        <v>5.2125</v>
      </c>
      <c r="G109" s="15">
        <f>ROUND(+F109*(G$54+G$61/2),-3)</f>
        <v>210000</v>
      </c>
      <c r="H109" s="304">
        <f>G109*12/'Transport Costs'!L173</f>
        <v>6.3655149043513735</v>
      </c>
      <c r="K109" s="131">
        <f>MIN('Transport Costs'!F194:I194)</f>
        <v>16.275</v>
      </c>
      <c r="L109" s="15">
        <f>ROUND(+K109*L$65,-3)</f>
        <v>327000</v>
      </c>
      <c r="M109" s="301">
        <f>L109*12/'Transport Costs'!L174</f>
        <v>11.709143347663831</v>
      </c>
      <c r="O109" s="131">
        <f>MIN('Transport Costs'!$F195:$I195)</f>
        <v>42.3125</v>
      </c>
      <c r="P109" s="15">
        <f>ROUND(+O109*P$65,-3)</f>
        <v>216000</v>
      </c>
      <c r="Q109" s="302">
        <f>P109*12/'Transport Costs'!$L175</f>
        <v>7.734480009466017</v>
      </c>
      <c r="R109" s="302"/>
      <c r="S109" s="131">
        <f>MIN('Transport Costs'!$F196:$I196)</f>
        <v>42.3125</v>
      </c>
      <c r="T109" s="15">
        <f>ROUND(+S109*T$65,-3)</f>
        <v>254000</v>
      </c>
      <c r="U109" s="302">
        <f>T109*12/'Transport Costs'!$L176</f>
        <v>9.09517556668689</v>
      </c>
      <c r="W109" s="131">
        <f>MIN('Transport Costs'!E193:I193)</f>
        <v>7.824999999999999</v>
      </c>
      <c r="X109" s="15">
        <f>ROUND(+W109*(X$58+X$59/2),-3)</f>
        <v>372000</v>
      </c>
      <c r="Y109" s="302">
        <f>+X109*12/'Transport Costs'!L173</f>
        <v>11.276054973422433</v>
      </c>
      <c r="AA109" s="131">
        <f>MIN('Transport Costs'!E191:I191)</f>
        <v>5.6000000000000005</v>
      </c>
      <c r="AB109" s="15">
        <f>ROUND(+AA109*(AB$58+AB$59/2),-3)</f>
        <v>266000</v>
      </c>
      <c r="AC109" s="302">
        <f>+AB109*12/'Transport Costs'!L172</f>
        <v>10.508082013346014</v>
      </c>
    </row>
    <row r="110" spans="3:29" ht="12.75">
      <c r="C110" s="145">
        <v>10</v>
      </c>
      <c r="D110" s="5">
        <v>28</v>
      </c>
      <c r="F110" s="131">
        <f>MIN('Transport Costs'!E239:I239)</f>
        <v>3.2874999999999996</v>
      </c>
      <c r="G110" s="15">
        <f>ROUND(+F110*(G$54+G$61/2),-3)</f>
        <v>132000</v>
      </c>
      <c r="H110" s="304">
        <f>G110*12/'Transport Costs'!L220</f>
        <v>4.272817357209784</v>
      </c>
      <c r="K110" s="131">
        <f>MIN('Transport Costs'!F241:I241)</f>
        <v>10.8125</v>
      </c>
      <c r="L110" s="15">
        <f>ROUND(+K110*L$65,-3)</f>
        <v>217000</v>
      </c>
      <c r="M110" s="301">
        <f>L110*12/'Transport Costs'!L221</f>
        <v>8.335007850968523</v>
      </c>
      <c r="O110" s="131">
        <f>MIN('Transport Costs'!$F242:$I242)</f>
        <v>28.112499999999997</v>
      </c>
      <c r="P110" s="15">
        <f>ROUND(+O110*P$65,-3)</f>
        <v>143000</v>
      </c>
      <c r="Q110" s="302">
        <f>P110*12/'Transport Costs'!$L222</f>
        <v>5.492654943264971</v>
      </c>
      <c r="R110" s="302"/>
      <c r="S110" s="131">
        <f>MIN('Transport Costs'!$F243:$I243)</f>
        <v>28.112499999999997</v>
      </c>
      <c r="T110" s="15">
        <f>ROUND(+S110*T$65,-3)</f>
        <v>169000</v>
      </c>
      <c r="U110" s="302">
        <f>T110*12/'Transport Costs'!$L223</f>
        <v>6.491319478404057</v>
      </c>
      <c r="W110" s="131">
        <f>MIN('Transport Costs'!E240:I240)</f>
        <v>4.925</v>
      </c>
      <c r="X110" s="15">
        <f>ROUND(+W110*(X$58+X$59/2),-3)</f>
        <v>234000</v>
      </c>
      <c r="Y110" s="302">
        <f>+X110*12/'Transport Costs'!L220</f>
        <v>7.574539860508255</v>
      </c>
      <c r="AA110" s="131">
        <f>MIN('Transport Costs'!E238:I238)</f>
        <v>4.4125</v>
      </c>
      <c r="AB110" s="15">
        <f>ROUND(+AA110*(AB$58+AB$59/2),-3)</f>
        <v>210000</v>
      </c>
      <c r="AC110" s="302">
        <f>+AB110*12/'Transport Costs'!L219</f>
        <v>8.793476379792546</v>
      </c>
    </row>
    <row r="111" spans="3:29" ht="12.75">
      <c r="C111" s="145">
        <v>20</v>
      </c>
      <c r="D111" s="5">
        <v>15</v>
      </c>
      <c r="F111" s="131">
        <f>MIN('Transport Costs'!E286:I286)</f>
        <v>2.4125</v>
      </c>
      <c r="G111" s="15">
        <f>ROUND(+F111*(G$54+G$61/2),-3)</f>
        <v>97000</v>
      </c>
      <c r="H111" s="304">
        <f>G111*12/'Transport Costs'!L267</f>
        <v>3.3329192276945228</v>
      </c>
      <c r="K111" s="131">
        <f>MIN('Transport Costs'!F288:I288)</f>
        <v>8.3625</v>
      </c>
      <c r="L111" s="15">
        <f>ROUND(+K111*L$65,-3)</f>
        <v>168000</v>
      </c>
      <c r="M111" s="301">
        <f>L111*12/'Transport Costs'!L268</f>
        <v>6.834053401384289</v>
      </c>
      <c r="O111" s="131">
        <f>MIN('Transport Costs'!$F289:$I289)</f>
        <v>21.75</v>
      </c>
      <c r="P111" s="15">
        <f>ROUND(+O111*P$65,-3)</f>
        <v>111000</v>
      </c>
      <c r="Q111" s="302">
        <f>P111*12/'Transport Costs'!$L269</f>
        <v>4.515356711628906</v>
      </c>
      <c r="R111" s="302"/>
      <c r="S111" s="131">
        <f>MIN('Transport Costs'!$F290:$I290)</f>
        <v>21.75</v>
      </c>
      <c r="T111" s="15">
        <f>ROUND(+S111*T$65,-3)</f>
        <v>131000</v>
      </c>
      <c r="U111" s="302">
        <f>T111*12/'Transport Costs'!$L270</f>
        <v>5.328934497507987</v>
      </c>
      <c r="W111" s="131">
        <f>MIN('Transport Costs'!E287:I287)</f>
        <v>3.625</v>
      </c>
      <c r="X111" s="15">
        <f>ROUND(+W111*(X$58+X$59/2),-3)</f>
        <v>172000</v>
      </c>
      <c r="Y111" s="302">
        <f>+X111*12/'Transport Costs'!L267</f>
        <v>5.909918630551112</v>
      </c>
      <c r="AA111" s="131">
        <f>MIN('Transport Costs'!E285:I285)</f>
        <v>3.8874999999999997</v>
      </c>
      <c r="AB111" s="15">
        <f>ROUND(+AA111*(AB$58+AB$59/2),-3)</f>
        <v>185000</v>
      </c>
      <c r="AC111" s="302">
        <f>+AB111*12/'Transport Costs'!L266</f>
        <v>8.029723641668559</v>
      </c>
    </row>
    <row r="112" ht="12.75">
      <c r="H112" s="22"/>
    </row>
    <row r="113" spans="8:13" ht="12.75">
      <c r="H113" s="22"/>
      <c r="M113" s="22"/>
    </row>
    <row r="114" spans="1:13" ht="15.75">
      <c r="A114" s="28" t="s">
        <v>524</v>
      </c>
      <c r="H114" s="22"/>
      <c r="M114" s="22"/>
    </row>
    <row r="115" spans="8:13" ht="12.75">
      <c r="H115" s="22"/>
      <c r="M115" s="22"/>
    </row>
    <row r="116" spans="2:28" ht="27" customHeight="1">
      <c r="B116" s="971" t="s">
        <v>500</v>
      </c>
      <c r="C116" s="994"/>
      <c r="D116" s="994"/>
      <c r="E116" s="146"/>
      <c r="F116" s="114"/>
      <c r="G116" s="240">
        <v>0</v>
      </c>
      <c r="H116" s="146"/>
      <c r="I116" s="22"/>
      <c r="J116" s="22"/>
      <c r="K116" s="114"/>
      <c r="L116" s="240">
        <f>ROUND(+L65*'Disinfection of wheelie bins'!$L$28,-3)</f>
        <v>52000</v>
      </c>
      <c r="M116" s="146"/>
      <c r="N116" s="22"/>
      <c r="O116" s="114"/>
      <c r="P116" s="240">
        <f>ROUND(+P65*'Disinfection of wheelie bins'!$L$29,-3)</f>
        <v>40000</v>
      </c>
      <c r="T116" s="240">
        <f>ROUND(+T65*'Disinfection of wheelie bins'!$L$29,-3)</f>
        <v>47000</v>
      </c>
      <c r="X116" s="240">
        <f>ROUND(+(X58+X59)*'Disinfection of wheelie bins'!$L$27,-3)</f>
        <v>104000</v>
      </c>
      <c r="AB116" s="240">
        <f>ROUND(+(AB58+AB59)*'Disinfection of wheelie bins'!$L$27,-3)</f>
        <v>104000</v>
      </c>
    </row>
    <row r="117" spans="1:13" ht="18.75" customHeight="1">
      <c r="A117" s="188"/>
      <c r="B117" s="188"/>
      <c r="H117" s="22"/>
      <c r="M117" s="22"/>
    </row>
    <row r="118" spans="1:13" ht="15.75">
      <c r="A118" s="28" t="s">
        <v>159</v>
      </c>
      <c r="H118" s="22"/>
      <c r="M118" s="22"/>
    </row>
    <row r="119" spans="8:13" ht="12.75">
      <c r="H119" s="22"/>
      <c r="M119" s="22"/>
    </row>
    <row r="120" spans="1:28" ht="18.75" customHeight="1">
      <c r="A120" s="957" t="s">
        <v>160</v>
      </c>
      <c r="B120" s="958"/>
      <c r="C120" s="958"/>
      <c r="D120" s="959"/>
      <c r="E120" s="158" t="s">
        <v>156</v>
      </c>
      <c r="F120" s="159" t="s">
        <v>158</v>
      </c>
      <c r="G120" s="160" t="s">
        <v>157</v>
      </c>
      <c r="H120" s="22"/>
      <c r="I120" s="147" t="s">
        <v>156</v>
      </c>
      <c r="J120" s="29"/>
      <c r="K120" s="158" t="s">
        <v>158</v>
      </c>
      <c r="L120" s="160" t="s">
        <v>157</v>
      </c>
      <c r="M120" s="22"/>
      <c r="N120" s="158" t="s">
        <v>156</v>
      </c>
      <c r="O120" s="159" t="s">
        <v>158</v>
      </c>
      <c r="P120" s="160" t="s">
        <v>157</v>
      </c>
      <c r="R120" s="158" t="s">
        <v>156</v>
      </c>
      <c r="S120" s="159" t="s">
        <v>158</v>
      </c>
      <c r="T120" s="160" t="s">
        <v>157</v>
      </c>
      <c r="V120" s="158" t="s">
        <v>156</v>
      </c>
      <c r="W120" s="159" t="s">
        <v>158</v>
      </c>
      <c r="X120" s="160" t="s">
        <v>157</v>
      </c>
      <c r="Z120" s="158" t="s">
        <v>156</v>
      </c>
      <c r="AA120" s="159" t="s">
        <v>158</v>
      </c>
      <c r="AB120" s="160" t="s">
        <v>157</v>
      </c>
    </row>
    <row r="121" spans="1:28" ht="66" customHeight="1">
      <c r="A121" s="962" t="s">
        <v>161</v>
      </c>
      <c r="B121" s="962"/>
      <c r="C121" s="7" t="s">
        <v>190</v>
      </c>
      <c r="D121" s="169" t="s">
        <v>191</v>
      </c>
      <c r="E121" s="957" t="s">
        <v>167</v>
      </c>
      <c r="F121" s="958"/>
      <c r="G121" s="959"/>
      <c r="H121" s="22"/>
      <c r="I121" s="957" t="s">
        <v>167</v>
      </c>
      <c r="J121" s="958"/>
      <c r="K121" s="958"/>
      <c r="L121" s="959"/>
      <c r="M121" s="22"/>
      <c r="N121" s="957" t="s">
        <v>167</v>
      </c>
      <c r="O121" s="958"/>
      <c r="P121" s="959"/>
      <c r="R121" s="957" t="s">
        <v>167</v>
      </c>
      <c r="S121" s="958"/>
      <c r="T121" s="959"/>
      <c r="V121" s="957" t="s">
        <v>167</v>
      </c>
      <c r="W121" s="958"/>
      <c r="X121" s="959"/>
      <c r="Z121" s="957" t="s">
        <v>167</v>
      </c>
      <c r="AA121" s="958"/>
      <c r="AB121" s="959"/>
    </row>
    <row r="122" spans="1:28" ht="18.75" customHeight="1">
      <c r="A122" s="1006">
        <v>1</v>
      </c>
      <c r="B122" s="1006"/>
      <c r="C122" s="152">
        <f>ROUND(+G$10*12/(1000*A122),-2)</f>
        <v>4800</v>
      </c>
      <c r="D122" s="152">
        <f>+'Treatment Scenario Costs'!$D$9</f>
        <v>19700</v>
      </c>
      <c r="E122" s="153">
        <f>'Treatment Scenario Costs'!I76</f>
        <v>1.21</v>
      </c>
      <c r="F122" s="153">
        <f>'Treatment Scenario Costs'!N76</f>
        <v>1.24</v>
      </c>
      <c r="G122" s="153">
        <f>'Treatment Scenario Costs'!D76</f>
        <v>1.87</v>
      </c>
      <c r="H122" s="22"/>
      <c r="I122" s="153">
        <f>+E122</f>
        <v>1.21</v>
      </c>
      <c r="J122" s="965"/>
      <c r="K122" s="153">
        <f aca="true" t="shared" si="2" ref="K122:L125">+F122</f>
        <v>1.24</v>
      </c>
      <c r="L122" s="153">
        <f t="shared" si="2"/>
        <v>1.87</v>
      </c>
      <c r="M122" s="22"/>
      <c r="N122" s="153">
        <f>+$E122</f>
        <v>1.21</v>
      </c>
      <c r="O122" s="153">
        <f>+$F122</f>
        <v>1.24</v>
      </c>
      <c r="P122" s="153">
        <f>+$G122</f>
        <v>1.87</v>
      </c>
      <c r="R122" s="153">
        <f>+$E122</f>
        <v>1.21</v>
      </c>
      <c r="S122" s="153">
        <f>+$F122</f>
        <v>1.24</v>
      </c>
      <c r="T122" s="153">
        <f>+$G122</f>
        <v>1.87</v>
      </c>
      <c r="V122" s="153">
        <f>$E122</f>
        <v>1.21</v>
      </c>
      <c r="W122" s="153">
        <f>$F122</f>
        <v>1.24</v>
      </c>
      <c r="X122" s="153">
        <f>$G122</f>
        <v>1.87</v>
      </c>
      <c r="Z122" s="153">
        <f>$E122</f>
        <v>1.21</v>
      </c>
      <c r="AA122" s="153">
        <f>$F122</f>
        <v>1.24</v>
      </c>
      <c r="AB122" s="153">
        <f>$G122</f>
        <v>1.87</v>
      </c>
    </row>
    <row r="123" spans="1:28" ht="18.75" customHeight="1">
      <c r="A123" s="976">
        <v>3</v>
      </c>
      <c r="B123" s="976"/>
      <c r="C123" s="152">
        <f>ROUND(+G$10*12/(1000*A123),-2)</f>
        <v>1600</v>
      </c>
      <c r="D123" s="152">
        <f>+'Treatment Scenario Costs'!$E$9</f>
        <v>4400</v>
      </c>
      <c r="E123" s="153">
        <f>'Treatment Scenario Costs'!J76</f>
        <v>2.07</v>
      </c>
      <c r="F123" s="153">
        <f>'Treatment Scenario Costs'!O76</f>
        <v>2.17</v>
      </c>
      <c r="G123" s="153">
        <f>'Treatment Scenario Costs'!E76</f>
        <v>2.25</v>
      </c>
      <c r="H123" s="22"/>
      <c r="I123" s="153">
        <f>+E123</f>
        <v>2.07</v>
      </c>
      <c r="J123" s="966"/>
      <c r="K123" s="153">
        <f t="shared" si="2"/>
        <v>2.17</v>
      </c>
      <c r="L123" s="153">
        <f t="shared" si="2"/>
        <v>2.25</v>
      </c>
      <c r="M123" s="22"/>
      <c r="N123" s="153">
        <f>+$E123</f>
        <v>2.07</v>
      </c>
      <c r="O123" s="153">
        <f>+$F123</f>
        <v>2.17</v>
      </c>
      <c r="P123" s="153">
        <f>+$G123</f>
        <v>2.25</v>
      </c>
      <c r="R123" s="153">
        <f>+$E123</f>
        <v>2.07</v>
      </c>
      <c r="S123" s="153">
        <f>+$F123</f>
        <v>2.17</v>
      </c>
      <c r="T123" s="153">
        <f>+$G123</f>
        <v>2.25</v>
      </c>
      <c r="V123" s="153">
        <f>$E123</f>
        <v>2.07</v>
      </c>
      <c r="W123" s="153">
        <f>$F123</f>
        <v>2.17</v>
      </c>
      <c r="X123" s="153">
        <f>$G123</f>
        <v>2.25</v>
      </c>
      <c r="Z123" s="153">
        <f>$E123</f>
        <v>2.07</v>
      </c>
      <c r="AA123" s="153">
        <f>$F123</f>
        <v>2.17</v>
      </c>
      <c r="AB123" s="153">
        <f>$G123</f>
        <v>2.25</v>
      </c>
    </row>
    <row r="124" spans="1:28" ht="18.75" customHeight="1">
      <c r="A124" s="976">
        <v>10</v>
      </c>
      <c r="B124" s="976"/>
      <c r="C124" s="152">
        <f>ROUND(+G$10*12/(1000*A124),-2)</f>
        <v>500</v>
      </c>
      <c r="D124" s="152">
        <f>+'Treatment Scenario Costs'!$F$9</f>
        <v>1200</v>
      </c>
      <c r="E124" s="153">
        <f>'Treatment Scenario Costs'!K76</f>
        <v>4.7</v>
      </c>
      <c r="F124" s="153">
        <f>'Treatment Scenario Costs'!P76</f>
        <v>5.13</v>
      </c>
      <c r="G124" s="153">
        <f>'Treatment Scenario Costs'!F76</f>
        <v>4.779999999999999</v>
      </c>
      <c r="H124" s="22"/>
      <c r="I124" s="153">
        <f>+E124</f>
        <v>4.7</v>
      </c>
      <c r="J124" s="966"/>
      <c r="K124" s="153">
        <f t="shared" si="2"/>
        <v>5.13</v>
      </c>
      <c r="L124" s="153">
        <f t="shared" si="2"/>
        <v>4.779999999999999</v>
      </c>
      <c r="M124" s="22"/>
      <c r="N124" s="153">
        <f>+$E124</f>
        <v>4.7</v>
      </c>
      <c r="O124" s="153">
        <f>+$F124</f>
        <v>5.13</v>
      </c>
      <c r="P124" s="153">
        <f>+$G124</f>
        <v>4.779999999999999</v>
      </c>
      <c r="R124" s="153">
        <f>+$E124</f>
        <v>4.7</v>
      </c>
      <c r="S124" s="153">
        <f>+$F124</f>
        <v>5.13</v>
      </c>
      <c r="T124" s="153">
        <f>+$G124</f>
        <v>4.779999999999999</v>
      </c>
      <c r="V124" s="153">
        <f>$E124</f>
        <v>4.7</v>
      </c>
      <c r="W124" s="153">
        <f>$F124</f>
        <v>5.13</v>
      </c>
      <c r="X124" s="153">
        <f>$G124</f>
        <v>4.779999999999999</v>
      </c>
      <c r="Z124" s="153">
        <f>$E124</f>
        <v>4.7</v>
      </c>
      <c r="AA124" s="153">
        <f>$F124</f>
        <v>5.13</v>
      </c>
      <c r="AB124" s="153">
        <f>$G124</f>
        <v>4.779999999999999</v>
      </c>
    </row>
    <row r="125" spans="1:28" ht="18.75" customHeight="1">
      <c r="A125" s="976">
        <v>20</v>
      </c>
      <c r="B125" s="976"/>
      <c r="C125" s="152">
        <f>ROUND(+G$10*12/(1000*A125),-1)</f>
        <v>240</v>
      </c>
      <c r="D125" s="152">
        <f>+'Treatment Scenario Costs'!$G$9</f>
        <v>600</v>
      </c>
      <c r="E125" s="153">
        <f>'Treatment Scenario Costs'!L76</f>
        <v>7.95</v>
      </c>
      <c r="F125" s="153">
        <f>'Treatment Scenario Costs'!Q76</f>
        <v>8.95</v>
      </c>
      <c r="G125" s="153">
        <f>'Treatment Scenario Costs'!G76</f>
        <v>8.5</v>
      </c>
      <c r="H125" s="22"/>
      <c r="I125" s="153">
        <f>+E125</f>
        <v>7.95</v>
      </c>
      <c r="J125" s="967"/>
      <c r="K125" s="153">
        <f t="shared" si="2"/>
        <v>8.95</v>
      </c>
      <c r="L125" s="153">
        <f t="shared" si="2"/>
        <v>8.5</v>
      </c>
      <c r="M125" s="22"/>
      <c r="N125" s="153">
        <f>+$E125</f>
        <v>7.95</v>
      </c>
      <c r="O125" s="153">
        <f>+$F125</f>
        <v>8.95</v>
      </c>
      <c r="P125" s="153">
        <f>+$G125</f>
        <v>8.5</v>
      </c>
      <c r="R125" s="153">
        <f>+$E125</f>
        <v>7.95</v>
      </c>
      <c r="S125" s="153">
        <f>+$F125</f>
        <v>8.95</v>
      </c>
      <c r="T125" s="153">
        <f>+$G125</f>
        <v>8.5</v>
      </c>
      <c r="V125" s="153">
        <f>$E125</f>
        <v>7.95</v>
      </c>
      <c r="W125" s="153">
        <f>$F125</f>
        <v>8.95</v>
      </c>
      <c r="X125" s="153">
        <f>$G125</f>
        <v>8.5</v>
      </c>
      <c r="Z125" s="153">
        <f>$E125</f>
        <v>7.95</v>
      </c>
      <c r="AA125" s="153">
        <f>$F125</f>
        <v>8.95</v>
      </c>
      <c r="AB125" s="153">
        <f>$G125</f>
        <v>8.5</v>
      </c>
    </row>
    <row r="126" spans="1:28" ht="27.75" customHeight="1">
      <c r="A126" s="1004"/>
      <c r="B126" s="1004"/>
      <c r="C126" s="180"/>
      <c r="D126" s="181"/>
      <c r="E126" s="943" t="s">
        <v>168</v>
      </c>
      <c r="F126" s="944"/>
      <c r="G126" s="945"/>
      <c r="H126" s="22"/>
      <c r="I126" s="943" t="s">
        <v>168</v>
      </c>
      <c r="J126" s="944"/>
      <c r="K126" s="944"/>
      <c r="L126" s="945"/>
      <c r="M126" s="22"/>
      <c r="N126" s="943" t="s">
        <v>168</v>
      </c>
      <c r="O126" s="944"/>
      <c r="P126" s="945"/>
      <c r="R126" s="943" t="s">
        <v>168</v>
      </c>
      <c r="S126" s="944"/>
      <c r="T126" s="945"/>
      <c r="V126" s="943" t="s">
        <v>168</v>
      </c>
      <c r="W126" s="944"/>
      <c r="X126" s="945"/>
      <c r="Z126" s="943" t="s">
        <v>168</v>
      </c>
      <c r="AA126" s="944"/>
      <c r="AB126" s="945"/>
    </row>
    <row r="127" spans="1:28" ht="18.75" customHeight="1">
      <c r="A127" s="1010">
        <v>1</v>
      </c>
      <c r="B127" s="1011"/>
      <c r="C127" s="6"/>
      <c r="D127" s="6"/>
      <c r="E127" s="154">
        <f aca="true" t="shared" si="3" ref="E127:G130">ROUND(+E122*($G$10+$G$54*$L$7+$G$61*$L$8),-3)</f>
        <v>520000</v>
      </c>
      <c r="F127" s="154">
        <f t="shared" si="3"/>
        <v>533000</v>
      </c>
      <c r="G127" s="154">
        <f t="shared" si="3"/>
        <v>804000</v>
      </c>
      <c r="H127" s="151"/>
      <c r="I127" s="154">
        <f>ROUND(+I122*$G$10,-3)</f>
        <v>486000</v>
      </c>
      <c r="J127" s="968"/>
      <c r="K127" s="154">
        <f aca="true" t="shared" si="4" ref="K127:L130">ROUND(+K122*$G$10,-3)</f>
        <v>498000</v>
      </c>
      <c r="L127" s="154">
        <f t="shared" si="4"/>
        <v>751000</v>
      </c>
      <c r="M127" s="22"/>
      <c r="N127" s="154">
        <f aca="true" t="shared" si="5" ref="N127:P130">ROUND(+N122*$G$10,-3)</f>
        <v>486000</v>
      </c>
      <c r="O127" s="154">
        <f t="shared" si="5"/>
        <v>498000</v>
      </c>
      <c r="P127" s="154">
        <f t="shared" si="5"/>
        <v>751000</v>
      </c>
      <c r="R127" s="154">
        <f aca="true" t="shared" si="6" ref="R127:T130">ROUND(+R122*$G$10,-3)</f>
        <v>486000</v>
      </c>
      <c r="S127" s="154">
        <f t="shared" si="6"/>
        <v>498000</v>
      </c>
      <c r="T127" s="154">
        <f t="shared" si="6"/>
        <v>751000</v>
      </c>
      <c r="V127" s="154">
        <f aca="true" t="shared" si="7" ref="V127:X130">ROUND(+V122*$G$10,-3)</f>
        <v>486000</v>
      </c>
      <c r="W127" s="154">
        <f t="shared" si="7"/>
        <v>498000</v>
      </c>
      <c r="X127" s="154">
        <f t="shared" si="7"/>
        <v>751000</v>
      </c>
      <c r="Z127" s="154">
        <f aca="true" t="shared" si="8" ref="Z127:AB130">ROUND(+Z122*$G$10,-3)</f>
        <v>486000</v>
      </c>
      <c r="AA127" s="154">
        <f t="shared" si="8"/>
        <v>498000</v>
      </c>
      <c r="AB127" s="154">
        <f t="shared" si="8"/>
        <v>751000</v>
      </c>
    </row>
    <row r="128" spans="1:28" ht="18.75" customHeight="1">
      <c r="A128" s="1002">
        <v>3</v>
      </c>
      <c r="B128" s="1003"/>
      <c r="C128" s="29"/>
      <c r="D128" s="29"/>
      <c r="E128" s="154">
        <f t="shared" si="3"/>
        <v>890000</v>
      </c>
      <c r="F128" s="154">
        <f t="shared" si="3"/>
        <v>933000</v>
      </c>
      <c r="G128" s="154">
        <f t="shared" si="3"/>
        <v>967000</v>
      </c>
      <c r="H128" s="151"/>
      <c r="I128" s="154">
        <f>ROUND(+I123*$G$10,-3)</f>
        <v>832000</v>
      </c>
      <c r="J128" s="969"/>
      <c r="K128" s="154">
        <f t="shared" si="4"/>
        <v>872000</v>
      </c>
      <c r="L128" s="154">
        <f t="shared" si="4"/>
        <v>904000</v>
      </c>
      <c r="M128" s="22"/>
      <c r="N128" s="154">
        <f t="shared" si="5"/>
        <v>832000</v>
      </c>
      <c r="O128" s="154">
        <f t="shared" si="5"/>
        <v>872000</v>
      </c>
      <c r="P128" s="154">
        <f t="shared" si="5"/>
        <v>904000</v>
      </c>
      <c r="R128" s="154">
        <f t="shared" si="6"/>
        <v>832000</v>
      </c>
      <c r="S128" s="154">
        <f t="shared" si="6"/>
        <v>872000</v>
      </c>
      <c r="T128" s="154">
        <f t="shared" si="6"/>
        <v>904000</v>
      </c>
      <c r="V128" s="154">
        <f t="shared" si="7"/>
        <v>832000</v>
      </c>
      <c r="W128" s="154">
        <f t="shared" si="7"/>
        <v>872000</v>
      </c>
      <c r="X128" s="154">
        <f t="shared" si="7"/>
        <v>904000</v>
      </c>
      <c r="Z128" s="154">
        <f t="shared" si="8"/>
        <v>832000</v>
      </c>
      <c r="AA128" s="154">
        <f t="shared" si="8"/>
        <v>872000</v>
      </c>
      <c r="AB128" s="154">
        <f t="shared" si="8"/>
        <v>904000</v>
      </c>
    </row>
    <row r="129" spans="1:28" ht="18.75" customHeight="1">
      <c r="A129" s="1002">
        <v>10</v>
      </c>
      <c r="B129" s="1003"/>
      <c r="C129" s="29"/>
      <c r="D129" s="29"/>
      <c r="E129" s="154">
        <f t="shared" si="3"/>
        <v>2021000</v>
      </c>
      <c r="F129" s="154">
        <f t="shared" si="3"/>
        <v>2206000</v>
      </c>
      <c r="G129" s="154">
        <f t="shared" si="3"/>
        <v>2055000</v>
      </c>
      <c r="H129" s="151"/>
      <c r="I129" s="154">
        <f>ROUND(+I124*$G$10,-3)</f>
        <v>1888000</v>
      </c>
      <c r="J129" s="969"/>
      <c r="K129" s="154">
        <f t="shared" si="4"/>
        <v>2061000</v>
      </c>
      <c r="L129" s="154">
        <f t="shared" si="4"/>
        <v>1921000</v>
      </c>
      <c r="M129" s="22"/>
      <c r="N129" s="154">
        <f t="shared" si="5"/>
        <v>1888000</v>
      </c>
      <c r="O129" s="154">
        <f t="shared" si="5"/>
        <v>2061000</v>
      </c>
      <c r="P129" s="154">
        <f t="shared" si="5"/>
        <v>1921000</v>
      </c>
      <c r="R129" s="154">
        <f t="shared" si="6"/>
        <v>1888000</v>
      </c>
      <c r="S129" s="154">
        <f t="shared" si="6"/>
        <v>2061000</v>
      </c>
      <c r="T129" s="154">
        <f t="shared" si="6"/>
        <v>1921000</v>
      </c>
      <c r="V129" s="154">
        <f t="shared" si="7"/>
        <v>1888000</v>
      </c>
      <c r="W129" s="154">
        <f t="shared" si="7"/>
        <v>2061000</v>
      </c>
      <c r="X129" s="154">
        <f t="shared" si="7"/>
        <v>1921000</v>
      </c>
      <c r="Z129" s="154">
        <f t="shared" si="8"/>
        <v>1888000</v>
      </c>
      <c r="AA129" s="154">
        <f t="shared" si="8"/>
        <v>2061000</v>
      </c>
      <c r="AB129" s="154">
        <f t="shared" si="8"/>
        <v>1921000</v>
      </c>
    </row>
    <row r="130" spans="1:28" ht="18.75" customHeight="1">
      <c r="A130" s="1002">
        <v>20</v>
      </c>
      <c r="B130" s="1003"/>
      <c r="C130" s="29"/>
      <c r="D130" s="29"/>
      <c r="E130" s="154">
        <f t="shared" si="3"/>
        <v>3418000</v>
      </c>
      <c r="F130" s="154">
        <f t="shared" si="3"/>
        <v>3848000</v>
      </c>
      <c r="G130" s="154">
        <f t="shared" si="3"/>
        <v>3654000</v>
      </c>
      <c r="H130" s="151"/>
      <c r="I130" s="154">
        <f>ROUND(+I125*$G$10,-3)</f>
        <v>3194000</v>
      </c>
      <c r="J130" s="970"/>
      <c r="K130" s="154">
        <f t="shared" si="4"/>
        <v>3596000</v>
      </c>
      <c r="L130" s="154">
        <f t="shared" si="4"/>
        <v>3415000</v>
      </c>
      <c r="M130" s="22"/>
      <c r="N130" s="154">
        <f t="shared" si="5"/>
        <v>3194000</v>
      </c>
      <c r="O130" s="154">
        <f t="shared" si="5"/>
        <v>3596000</v>
      </c>
      <c r="P130" s="154">
        <f t="shared" si="5"/>
        <v>3415000</v>
      </c>
      <c r="R130" s="154">
        <f t="shared" si="6"/>
        <v>3194000</v>
      </c>
      <c r="S130" s="154">
        <f t="shared" si="6"/>
        <v>3596000</v>
      </c>
      <c r="T130" s="154">
        <f t="shared" si="6"/>
        <v>3415000</v>
      </c>
      <c r="V130" s="154">
        <f t="shared" si="7"/>
        <v>3194000</v>
      </c>
      <c r="W130" s="154">
        <f t="shared" si="7"/>
        <v>3596000</v>
      </c>
      <c r="X130" s="154">
        <f t="shared" si="7"/>
        <v>3415000</v>
      </c>
      <c r="Z130" s="154">
        <f t="shared" si="8"/>
        <v>3194000</v>
      </c>
      <c r="AA130" s="154">
        <f t="shared" si="8"/>
        <v>3596000</v>
      </c>
      <c r="AB130" s="154">
        <f t="shared" si="8"/>
        <v>3415000</v>
      </c>
    </row>
    <row r="131" ht="21.75" customHeight="1"/>
    <row r="132" ht="23.25" customHeight="1"/>
    <row r="133" spans="1:28" ht="47.25" customHeight="1">
      <c r="A133" s="973" t="s">
        <v>162</v>
      </c>
      <c r="B133" s="974"/>
      <c r="C133" s="974"/>
      <c r="D133" s="975"/>
      <c r="E133" s="946" t="s">
        <v>156</v>
      </c>
      <c r="F133" s="948" t="s">
        <v>158</v>
      </c>
      <c r="G133" s="950" t="s">
        <v>157</v>
      </c>
      <c r="H133" s="22"/>
      <c r="I133" s="1008" t="s">
        <v>156</v>
      </c>
      <c r="J133" s="963"/>
      <c r="K133" s="946" t="s">
        <v>158</v>
      </c>
      <c r="L133" s="950" t="s">
        <v>157</v>
      </c>
      <c r="M133" s="22"/>
      <c r="N133" s="946" t="s">
        <v>156</v>
      </c>
      <c r="O133" s="948" t="s">
        <v>158</v>
      </c>
      <c r="P133" s="950" t="s">
        <v>157</v>
      </c>
      <c r="R133" s="946" t="s">
        <v>156</v>
      </c>
      <c r="S133" s="948" t="s">
        <v>158</v>
      </c>
      <c r="T133" s="950" t="s">
        <v>157</v>
      </c>
      <c r="V133" s="946" t="s">
        <v>156</v>
      </c>
      <c r="W133" s="948" t="s">
        <v>158</v>
      </c>
      <c r="X133" s="950" t="s">
        <v>157</v>
      </c>
      <c r="Z133" s="946" t="s">
        <v>156</v>
      </c>
      <c r="AA133" s="948" t="s">
        <v>158</v>
      </c>
      <c r="AB133" s="950" t="s">
        <v>157</v>
      </c>
    </row>
    <row r="134" spans="1:28" ht="45" customHeight="1">
      <c r="A134" s="971" t="s">
        <v>161</v>
      </c>
      <c r="B134" s="972"/>
      <c r="C134" s="40"/>
      <c r="D134" s="170"/>
      <c r="E134" s="947"/>
      <c r="F134" s="949"/>
      <c r="G134" s="951"/>
      <c r="H134" s="22"/>
      <c r="I134" s="1009"/>
      <c r="J134" s="964"/>
      <c r="K134" s="947"/>
      <c r="L134" s="951"/>
      <c r="M134" s="22"/>
      <c r="N134" s="947"/>
      <c r="O134" s="949"/>
      <c r="P134" s="951"/>
      <c r="R134" s="947"/>
      <c r="S134" s="949"/>
      <c r="T134" s="951"/>
      <c r="V134" s="947"/>
      <c r="W134" s="949"/>
      <c r="X134" s="951"/>
      <c r="Z134" s="947"/>
      <c r="AA134" s="949"/>
      <c r="AB134" s="951"/>
    </row>
    <row r="135" spans="1:28" ht="23.25" customHeight="1">
      <c r="A135" s="224">
        <v>1</v>
      </c>
      <c r="B135" s="225"/>
      <c r="C135" s="40"/>
      <c r="D135" s="170"/>
      <c r="E135" s="154">
        <f aca="true" t="shared" si="9" ref="E135:G138">ROUND(+$G$103+$G108+$G$116+E127,-3)</f>
        <v>1741000</v>
      </c>
      <c r="F135" s="154">
        <f t="shared" si="9"/>
        <v>1754000</v>
      </c>
      <c r="G135" s="154">
        <f t="shared" si="9"/>
        <v>2025000</v>
      </c>
      <c r="H135" s="155"/>
      <c r="I135" s="154">
        <f>ROUND(+$L$103+$L108+$L$116+I127,-3)</f>
        <v>1810000</v>
      </c>
      <c r="J135" s="156"/>
      <c r="K135" s="154">
        <f aca="true" t="shared" si="10" ref="K135:L138">ROUND(+$L$103+$L108+$L$116+K127,-3)</f>
        <v>1822000</v>
      </c>
      <c r="L135" s="154">
        <f t="shared" si="10"/>
        <v>2075000</v>
      </c>
      <c r="M135" s="157"/>
      <c r="N135" s="154">
        <f>ROUND(+$P$103+$P108+$P$116+N127,-3)</f>
        <v>1526000</v>
      </c>
      <c r="O135" s="154">
        <f>ROUND(+$P$103+$P108+$P$116+O127,-3)</f>
        <v>1538000</v>
      </c>
      <c r="P135" s="154">
        <f aca="true" t="shared" si="11" ref="O135:P138">ROUND(+$P$103+$P108+$P$116+P127,-3)</f>
        <v>1791000</v>
      </c>
      <c r="Q135" s="226">
        <f>'Status quo costs Provincial '!$G$47</f>
        <v>1809000</v>
      </c>
      <c r="R135" s="154">
        <f aca="true" t="shared" si="12" ref="R135:T136">ROUND(+$T$103+$T108+$T$116+R127,-3)</f>
        <v>1662000</v>
      </c>
      <c r="S135" s="154">
        <f t="shared" si="12"/>
        <v>1674000</v>
      </c>
      <c r="T135" s="154">
        <f t="shared" si="12"/>
        <v>1927000</v>
      </c>
      <c r="U135" s="226"/>
      <c r="V135" s="154">
        <f aca="true" t="shared" si="13" ref="V135:X138">ROUND(+$X$103+$X108+$X$116+V127,-3)</f>
        <v>1860000</v>
      </c>
      <c r="W135" s="154">
        <f t="shared" si="13"/>
        <v>1872000</v>
      </c>
      <c r="X135" s="154">
        <f t="shared" si="13"/>
        <v>2125000</v>
      </c>
      <c r="Z135" s="154">
        <f>ROUND(+$AB$103+$AB108+$AB$116+Z127,-3)</f>
        <v>1680000</v>
      </c>
      <c r="AA135" s="154">
        <f>ROUND(+$AB$103+$AB108+$AB$116+AA127,-3)</f>
        <v>1692000</v>
      </c>
      <c r="AB135" s="154">
        <f>ROUND(+$AB$103+$AB108+$AB$116+AB127,-3)</f>
        <v>1945000</v>
      </c>
    </row>
    <row r="136" spans="1:28" ht="18.75" customHeight="1">
      <c r="A136" s="189">
        <v>3</v>
      </c>
      <c r="B136" s="190"/>
      <c r="C136" s="168"/>
      <c r="D136" s="171"/>
      <c r="E136" s="154">
        <f t="shared" si="9"/>
        <v>2050000</v>
      </c>
      <c r="F136" s="154">
        <f t="shared" si="9"/>
        <v>2093000</v>
      </c>
      <c r="G136" s="154">
        <f t="shared" si="9"/>
        <v>2127000</v>
      </c>
      <c r="H136" s="155"/>
      <c r="I136" s="154">
        <f>ROUND(+$L$103+$L109+$L$116+I128,-3)</f>
        <v>2069000</v>
      </c>
      <c r="J136" s="156"/>
      <c r="K136" s="154">
        <f t="shared" si="10"/>
        <v>2109000</v>
      </c>
      <c r="L136" s="154">
        <f t="shared" si="10"/>
        <v>2141000</v>
      </c>
      <c r="M136" s="157"/>
      <c r="N136" s="154">
        <f>ROUND(+$P$103+$P109+$P$116+N128,-3)</f>
        <v>1815000</v>
      </c>
      <c r="O136" s="154">
        <f t="shared" si="11"/>
        <v>1855000</v>
      </c>
      <c r="P136" s="154">
        <f t="shared" si="11"/>
        <v>1887000</v>
      </c>
      <c r="Q136" s="226">
        <f>'Status quo costs Provincial '!$G$47</f>
        <v>1809000</v>
      </c>
      <c r="R136" s="154">
        <f t="shared" si="12"/>
        <v>1941000</v>
      </c>
      <c r="S136" s="154">
        <f t="shared" si="12"/>
        <v>1981000</v>
      </c>
      <c r="T136" s="154">
        <f t="shared" si="12"/>
        <v>2013000</v>
      </c>
      <c r="U136" s="226"/>
      <c r="V136" s="154">
        <f t="shared" si="13"/>
        <v>2098000</v>
      </c>
      <c r="W136" s="154">
        <f t="shared" si="13"/>
        <v>2138000</v>
      </c>
      <c r="X136" s="154">
        <f t="shared" si="13"/>
        <v>2170000</v>
      </c>
      <c r="Z136" s="154">
        <f aca="true" t="shared" si="14" ref="Z136:AA138">ROUND(+$AB$103+$AB109+$AB$116+Z128,-3)</f>
        <v>1981000</v>
      </c>
      <c r="AA136" s="154">
        <f t="shared" si="14"/>
        <v>2021000</v>
      </c>
      <c r="AB136" s="154">
        <f>ROUND(+$AB$103+$AB109+$AB$116+AB128,-3)</f>
        <v>2053000</v>
      </c>
    </row>
    <row r="137" spans="1:28" ht="18.75" customHeight="1">
      <c r="A137" s="189">
        <v>10</v>
      </c>
      <c r="B137" s="190"/>
      <c r="C137" s="168"/>
      <c r="D137" s="171"/>
      <c r="E137" s="154">
        <f t="shared" si="9"/>
        <v>3103000</v>
      </c>
      <c r="F137" s="154">
        <f t="shared" si="9"/>
        <v>3288000</v>
      </c>
      <c r="G137" s="154">
        <f t="shared" si="9"/>
        <v>3137000</v>
      </c>
      <c r="H137" s="155"/>
      <c r="I137" s="154">
        <f>ROUND(+$L$103+$L110+$L$116+I129,-3)</f>
        <v>3015000</v>
      </c>
      <c r="J137" s="156"/>
      <c r="K137" s="154">
        <f t="shared" si="10"/>
        <v>3188000</v>
      </c>
      <c r="L137" s="154">
        <f t="shared" si="10"/>
        <v>3048000</v>
      </c>
      <c r="M137" s="157"/>
      <c r="N137" s="154">
        <f>ROUND(+$P$103+$P110+$P$116+N129,-3)</f>
        <v>2798000</v>
      </c>
      <c r="O137" s="154">
        <f t="shared" si="11"/>
        <v>2971000</v>
      </c>
      <c r="P137" s="154">
        <f t="shared" si="11"/>
        <v>2831000</v>
      </c>
      <c r="Q137" s="226">
        <f>'Status quo costs Provincial '!$G$47</f>
        <v>1809000</v>
      </c>
      <c r="R137" s="154">
        <f aca="true" t="shared" si="15" ref="R137:T138">ROUND(+$T$103+$T110+$T$116+R129,-3)</f>
        <v>2912000</v>
      </c>
      <c r="S137" s="154">
        <f t="shared" si="15"/>
        <v>3085000</v>
      </c>
      <c r="T137" s="154">
        <f t="shared" si="15"/>
        <v>2945000</v>
      </c>
      <c r="U137" s="226"/>
      <c r="V137" s="154">
        <f t="shared" si="13"/>
        <v>3016000</v>
      </c>
      <c r="W137" s="154">
        <f t="shared" si="13"/>
        <v>3189000</v>
      </c>
      <c r="X137" s="154">
        <f t="shared" si="13"/>
        <v>3049000</v>
      </c>
      <c r="Z137" s="154">
        <f t="shared" si="14"/>
        <v>2981000</v>
      </c>
      <c r="AA137" s="154">
        <f t="shared" si="14"/>
        <v>3154000</v>
      </c>
      <c r="AB137" s="154">
        <f>ROUND(+$AB$103+$AB110+$AB$116+AB129,-3)</f>
        <v>3014000</v>
      </c>
    </row>
    <row r="138" spans="1:28" ht="19.5" customHeight="1">
      <c r="A138" s="189">
        <v>20</v>
      </c>
      <c r="B138" s="190"/>
      <c r="C138" s="168"/>
      <c r="D138" s="171"/>
      <c r="E138" s="154">
        <f t="shared" si="9"/>
        <v>4465000</v>
      </c>
      <c r="F138" s="154">
        <f t="shared" si="9"/>
        <v>4895000</v>
      </c>
      <c r="G138" s="154">
        <f t="shared" si="9"/>
        <v>4701000</v>
      </c>
      <c r="H138" s="155"/>
      <c r="I138" s="154">
        <f>ROUND(+$L$103+$L111+$L$116+I130,-3)</f>
        <v>4272000</v>
      </c>
      <c r="J138" s="156"/>
      <c r="K138" s="154">
        <f t="shared" si="10"/>
        <v>4674000</v>
      </c>
      <c r="L138" s="154">
        <f t="shared" si="10"/>
        <v>4493000</v>
      </c>
      <c r="M138" s="157"/>
      <c r="N138" s="154">
        <f>ROUND(+$P$103+$P111+$P$116+N130,-3)</f>
        <v>4072000</v>
      </c>
      <c r="O138" s="154">
        <f t="shared" si="11"/>
        <v>4474000</v>
      </c>
      <c r="P138" s="154">
        <f t="shared" si="11"/>
        <v>4293000</v>
      </c>
      <c r="Q138" s="226">
        <f>'Status quo costs Provincial '!$G$47</f>
        <v>1809000</v>
      </c>
      <c r="R138" s="154">
        <f t="shared" si="15"/>
        <v>4180000</v>
      </c>
      <c r="S138" s="154">
        <f t="shared" si="15"/>
        <v>4582000</v>
      </c>
      <c r="T138" s="154">
        <f t="shared" si="15"/>
        <v>4401000</v>
      </c>
      <c r="U138" s="226"/>
      <c r="V138" s="154">
        <f t="shared" si="13"/>
        <v>4260000</v>
      </c>
      <c r="W138" s="154">
        <f t="shared" si="13"/>
        <v>4662000</v>
      </c>
      <c r="X138" s="154">
        <f t="shared" si="13"/>
        <v>4481000</v>
      </c>
      <c r="Z138" s="154">
        <f t="shared" si="14"/>
        <v>4262000</v>
      </c>
      <c r="AA138" s="154">
        <f t="shared" si="14"/>
        <v>4664000</v>
      </c>
      <c r="AB138" s="154">
        <f>ROUND(+$AB$103+$AB111+$AB$116+AB130,-3)</f>
        <v>4483000</v>
      </c>
    </row>
    <row r="139" spans="1:4" ht="12.75">
      <c r="A139" s="52"/>
      <c r="B139" s="52"/>
      <c r="C139" s="52"/>
      <c r="D139" s="52"/>
    </row>
    <row r="140" spans="7:21" ht="12.75" customHeight="1">
      <c r="G140" s="10"/>
      <c r="H140" s="30"/>
      <c r="J140" s="51"/>
      <c r="K140" s="56"/>
      <c r="L140" s="55"/>
      <c r="M140" s="55"/>
      <c r="N140" s="55"/>
      <c r="O140" s="55"/>
      <c r="P140" s="56"/>
      <c r="Q140" s="70"/>
      <c r="R140" s="70"/>
      <c r="S140" s="70"/>
      <c r="T140" s="70"/>
      <c r="U140" s="70"/>
    </row>
  </sheetData>
  <sheetProtection password="C7CA" sheet="1" objects="1" scenarios="1"/>
  <mergeCells count="102">
    <mergeCell ref="P133:P134"/>
    <mergeCell ref="V133:V134"/>
    <mergeCell ref="W133:W134"/>
    <mergeCell ref="V49:X49"/>
    <mergeCell ref="R49:T49"/>
    <mergeCell ref="R121:T121"/>
    <mergeCell ref="R133:R134"/>
    <mergeCell ref="S133:S134"/>
    <mergeCell ref="T133:T134"/>
    <mergeCell ref="X133:X134"/>
    <mergeCell ref="J122:J125"/>
    <mergeCell ref="E126:G126"/>
    <mergeCell ref="I126:L126"/>
    <mergeCell ref="N126:P126"/>
    <mergeCell ref="V126:X126"/>
    <mergeCell ref="J127:J130"/>
    <mergeCell ref="I133:I134"/>
    <mergeCell ref="J133:J134"/>
    <mergeCell ref="R126:T126"/>
    <mergeCell ref="A121:B121"/>
    <mergeCell ref="E121:G121"/>
    <mergeCell ref="I121:L121"/>
    <mergeCell ref="N121:P121"/>
    <mergeCell ref="H106:H107"/>
    <mergeCell ref="M106:M107"/>
    <mergeCell ref="Q106:Q107"/>
    <mergeCell ref="Y106:Y107"/>
    <mergeCell ref="U106:U107"/>
    <mergeCell ref="V51:X51"/>
    <mergeCell ref="R51:T51"/>
    <mergeCell ref="J70:J102"/>
    <mergeCell ref="C71:D71"/>
    <mergeCell ref="D81:D82"/>
    <mergeCell ref="B88:C88"/>
    <mergeCell ref="B89:C89"/>
    <mergeCell ref="B102:C102"/>
    <mergeCell ref="K27:N27"/>
    <mergeCell ref="I20:I25"/>
    <mergeCell ref="E51:G51"/>
    <mergeCell ref="I51:L51"/>
    <mergeCell ref="N51:P51"/>
    <mergeCell ref="K41:N41"/>
    <mergeCell ref="K29:N29"/>
    <mergeCell ref="K33:N33"/>
    <mergeCell ref="K30:N30"/>
    <mergeCell ref="K37:N37"/>
    <mergeCell ref="K28:N28"/>
    <mergeCell ref="K32:N32"/>
    <mergeCell ref="K31:N31"/>
    <mergeCell ref="V121:X121"/>
    <mergeCell ref="K34:N34"/>
    <mergeCell ref="K35:N35"/>
    <mergeCell ref="K36:N36"/>
    <mergeCell ref="K44:N44"/>
    <mergeCell ref="I49:L49"/>
    <mergeCell ref="N49:P49"/>
    <mergeCell ref="A1:P1"/>
    <mergeCell ref="A2:P2"/>
    <mergeCell ref="K4:Q4"/>
    <mergeCell ref="O5:P5"/>
    <mergeCell ref="B116:D116"/>
    <mergeCell ref="A120:D120"/>
    <mergeCell ref="B6:E6"/>
    <mergeCell ref="B7:E7"/>
    <mergeCell ref="E49:G49"/>
    <mergeCell ref="C55:D55"/>
    <mergeCell ref="C61:D61"/>
    <mergeCell ref="C9:C10"/>
    <mergeCell ref="D9:D10"/>
    <mergeCell ref="E9:E10"/>
    <mergeCell ref="A133:D133"/>
    <mergeCell ref="E133:E134"/>
    <mergeCell ref="F133:F134"/>
    <mergeCell ref="G133:G134"/>
    <mergeCell ref="A134:B134"/>
    <mergeCell ref="A128:B128"/>
    <mergeCell ref="A130:B130"/>
    <mergeCell ref="A122:B122"/>
    <mergeCell ref="A124:B124"/>
    <mergeCell ref="A125:B125"/>
    <mergeCell ref="A129:B129"/>
    <mergeCell ref="A123:B123"/>
    <mergeCell ref="A126:B126"/>
    <mergeCell ref="A127:B127"/>
    <mergeCell ref="K38:N38"/>
    <mergeCell ref="K40:N40"/>
    <mergeCell ref="K42:N42"/>
    <mergeCell ref="N133:N134"/>
    <mergeCell ref="K45:O45"/>
    <mergeCell ref="O133:O134"/>
    <mergeCell ref="K133:K134"/>
    <mergeCell ref="L133:L134"/>
    <mergeCell ref="K39:N39"/>
    <mergeCell ref="K43:N43"/>
    <mergeCell ref="Z49:AB49"/>
    <mergeCell ref="Z51:AB51"/>
    <mergeCell ref="Z121:AB121"/>
    <mergeCell ref="Z126:AB126"/>
    <mergeCell ref="Z133:Z134"/>
    <mergeCell ref="AA133:AA134"/>
    <mergeCell ref="AB133:AB134"/>
    <mergeCell ref="AC106:AC107"/>
  </mergeCells>
  <conditionalFormatting sqref="D9:D10">
    <cfRule type="cellIs" priority="1" dxfId="3" operator="lessThan" stopIfTrue="1">
      <formula>0</formula>
    </cfRule>
    <cfRule type="cellIs" priority="2" dxfId="0" operator="greaterThan" stopIfTrue="1">
      <formula>0</formula>
    </cfRule>
  </conditionalFormatting>
  <printOptions/>
  <pageMargins left="0.27" right="0.2" top="0.31" bottom="0.26" header="0.21" footer="0.17"/>
  <pageSetup fitToHeight="1" fitToWidth="1" horizontalDpi="300" verticalDpi="300" orientation="landscape" paperSize="8" scale="24" r:id="rId2"/>
  <headerFooter alignWithMargins="0">
    <oddFooter>&amp;L&amp;"Arial,Bold"&amp;8&amp;F &amp;D &amp;T</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S19"/>
  <sheetViews>
    <sheetView workbookViewId="0" topLeftCell="A6">
      <selection activeCell="D9" sqref="D9"/>
    </sheetView>
  </sheetViews>
  <sheetFormatPr defaultColWidth="9.140625" defaultRowHeight="12.75"/>
  <cols>
    <col min="2" max="2" width="14.7109375" style="0" customWidth="1"/>
    <col min="3" max="3" width="18.7109375" style="0" customWidth="1"/>
    <col min="4" max="4" width="16.140625" style="0" customWidth="1"/>
    <col min="5" max="5" width="10.57421875" style="0" customWidth="1"/>
  </cols>
  <sheetData>
    <row r="1" spans="1:45" ht="15.75">
      <c r="A1" s="309"/>
      <c r="B1" s="1029" t="s">
        <v>83</v>
      </c>
      <c r="C1" s="1029"/>
      <c r="D1" s="1029"/>
      <c r="E1" s="1029"/>
      <c r="F1" s="1029"/>
      <c r="G1" s="1029"/>
      <c r="H1" s="310"/>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8" ht="13.5" thickBot="1">
      <c r="A2" s="309"/>
      <c r="B2" s="309"/>
      <c r="C2" s="309"/>
      <c r="D2" s="309"/>
      <c r="E2" s="309"/>
      <c r="F2" s="309"/>
      <c r="G2" s="309"/>
      <c r="H2" s="309"/>
    </row>
    <row r="3" spans="1:45" ht="45.75" customHeight="1" thickBot="1" thickTop="1">
      <c r="A3" s="309"/>
      <c r="B3" s="1030" t="s">
        <v>52</v>
      </c>
      <c r="C3" s="1031"/>
      <c r="D3" s="1031"/>
      <c r="E3" s="1031"/>
      <c r="F3" s="1031"/>
      <c r="G3" s="1032"/>
      <c r="H3" s="313"/>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row>
    <row r="4" spans="1:45" ht="22.5" customHeight="1" thickTop="1">
      <c r="A4" s="309"/>
      <c r="B4" s="314"/>
      <c r="C4" s="314"/>
      <c r="D4" s="314"/>
      <c r="E4" s="314"/>
      <c r="F4" s="314"/>
      <c r="G4" s="314"/>
      <c r="H4" s="313"/>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2:7" ht="42" customHeight="1">
      <c r="B5" s="1033" t="s">
        <v>64</v>
      </c>
      <c r="C5" s="1034"/>
      <c r="D5" s="1034"/>
      <c r="E5" s="1034"/>
      <c r="F5" s="1034"/>
      <c r="G5" s="1034"/>
    </row>
    <row r="6" ht="16.5" customHeight="1"/>
    <row r="7" spans="2:7" ht="48.75" customHeight="1">
      <c r="B7" s="6" t="s">
        <v>25</v>
      </c>
      <c r="C7" s="6" t="s">
        <v>53</v>
      </c>
      <c r="D7" s="40" t="s">
        <v>54</v>
      </c>
      <c r="E7" s="1028" t="s">
        <v>62</v>
      </c>
      <c r="F7" s="962"/>
      <c r="G7" s="962"/>
    </row>
    <row r="8" spans="2:7" ht="18" customHeight="1">
      <c r="B8" s="6"/>
      <c r="C8" s="6"/>
      <c r="D8" s="50" t="s">
        <v>66</v>
      </c>
      <c r="E8" s="43" t="s">
        <v>60</v>
      </c>
      <c r="F8" s="4" t="s">
        <v>61</v>
      </c>
      <c r="G8" s="4" t="s">
        <v>50</v>
      </c>
    </row>
    <row r="9" spans="2:7" ht="12.75">
      <c r="B9" s="11" t="s">
        <v>27</v>
      </c>
      <c r="C9" s="11" t="s">
        <v>28</v>
      </c>
      <c r="D9" s="41">
        <v>430000</v>
      </c>
      <c r="E9" s="44"/>
      <c r="F9" s="5"/>
      <c r="G9" s="5"/>
    </row>
    <row r="10" spans="2:7" ht="27.75" customHeight="1">
      <c r="B10" s="11"/>
      <c r="C10" s="37" t="s">
        <v>55</v>
      </c>
      <c r="D10" s="41">
        <v>460000</v>
      </c>
      <c r="E10" s="44"/>
      <c r="F10" s="5"/>
      <c r="G10" s="5"/>
    </row>
    <row r="11" spans="2:7" ht="15">
      <c r="B11" s="11"/>
      <c r="C11" s="11" t="s">
        <v>59</v>
      </c>
      <c r="D11" s="42">
        <f>SUM(D9:D10)</f>
        <v>890000</v>
      </c>
      <c r="E11" s="45">
        <f>ROUND(+$D11*E12,-2)</f>
        <v>778800</v>
      </c>
      <c r="F11" s="36">
        <f>ROUND(+$D11*F12,-2)</f>
        <v>40100</v>
      </c>
      <c r="G11" s="36">
        <f>+D11-E11-F11</f>
        <v>71100</v>
      </c>
    </row>
    <row r="12" spans="2:8" ht="12.75">
      <c r="B12" s="11"/>
      <c r="C12" s="11"/>
      <c r="D12" s="41"/>
      <c r="E12" s="46">
        <v>0.875</v>
      </c>
      <c r="F12" s="39">
        <v>0.045</v>
      </c>
      <c r="G12" s="39">
        <v>0.08</v>
      </c>
      <c r="H12" s="35"/>
    </row>
    <row r="13" spans="2:7" ht="12.75">
      <c r="B13" s="11" t="s">
        <v>26</v>
      </c>
      <c r="C13" s="11" t="s">
        <v>28</v>
      </c>
      <c r="D13" s="41">
        <v>144000</v>
      </c>
      <c r="E13" s="44"/>
      <c r="F13" s="5"/>
      <c r="G13" s="5"/>
    </row>
    <row r="14" spans="2:7" ht="12.75">
      <c r="B14" s="11"/>
      <c r="C14" s="11" t="s">
        <v>29</v>
      </c>
      <c r="D14" s="41">
        <v>11000</v>
      </c>
      <c r="E14" s="44"/>
      <c r="F14" s="5"/>
      <c r="G14" s="5"/>
    </row>
    <row r="15" spans="2:7" ht="15">
      <c r="B15" s="11"/>
      <c r="C15" s="11" t="s">
        <v>58</v>
      </c>
      <c r="D15" s="42">
        <f>SUM(D13:D14)</f>
        <v>155000</v>
      </c>
      <c r="E15" s="45">
        <f>ROUND(+$D15*E16,-2)</f>
        <v>138700</v>
      </c>
      <c r="F15" s="36">
        <f>ROUND(+$D15*F16,-2)</f>
        <v>800</v>
      </c>
      <c r="G15" s="36">
        <f>+D15-E15-F15</f>
        <v>15500</v>
      </c>
    </row>
    <row r="16" spans="2:8" ht="12.75">
      <c r="B16" s="5"/>
      <c r="C16" s="5"/>
      <c r="D16" s="41"/>
      <c r="E16" s="46">
        <v>0.895</v>
      </c>
      <c r="F16" s="39">
        <v>0.005</v>
      </c>
      <c r="G16" s="39">
        <v>0.1</v>
      </c>
      <c r="H16" s="35"/>
    </row>
    <row r="17" spans="2:7" ht="26.25" customHeight="1">
      <c r="B17" s="49" t="s">
        <v>57</v>
      </c>
      <c r="C17" s="48" t="s">
        <v>29</v>
      </c>
      <c r="D17" s="42">
        <v>130000</v>
      </c>
      <c r="E17" s="45">
        <f>ROUND(+$D17*E18,-2)</f>
        <v>116400</v>
      </c>
      <c r="F17" s="36">
        <f>ROUND(+$D17*F18,-2)</f>
        <v>700</v>
      </c>
      <c r="G17" s="36">
        <f>+D17-E17-F17</f>
        <v>12900</v>
      </c>
    </row>
    <row r="18" spans="2:7" ht="12.75">
      <c r="B18" s="5"/>
      <c r="C18" s="5"/>
      <c r="D18" s="41"/>
      <c r="E18" s="46">
        <v>0.895</v>
      </c>
      <c r="F18" s="39">
        <v>0.005</v>
      </c>
      <c r="G18" s="39">
        <v>0.1</v>
      </c>
    </row>
    <row r="19" spans="2:7" ht="19.5" customHeight="1">
      <c r="B19" s="5"/>
      <c r="C19" s="11" t="s">
        <v>63</v>
      </c>
      <c r="D19" s="42">
        <f>+D17+D15+D11</f>
        <v>1175000</v>
      </c>
      <c r="E19" s="47">
        <f>+E17+E15+E11</f>
        <v>1033900</v>
      </c>
      <c r="F19" s="38">
        <f>+F17+F15+F11</f>
        <v>41600</v>
      </c>
      <c r="G19" s="38">
        <f>+G17+G15+G11</f>
        <v>99500</v>
      </c>
    </row>
  </sheetData>
  <sheetProtection password="C7CA" sheet="1" objects="1" scenarios="1"/>
  <mergeCells count="4">
    <mergeCell ref="E7:G7"/>
    <mergeCell ref="B1:G1"/>
    <mergeCell ref="B3:G3"/>
    <mergeCell ref="B5:G5"/>
  </mergeCells>
  <printOptions/>
  <pageMargins left="0.75" right="0.75" top="1" bottom="1" header="0.5" footer="0.5"/>
  <pageSetup fitToHeight="1" fitToWidth="1" horizontalDpi="300" verticalDpi="300" orientation="portrait" paperSize="9" scale="91" r:id="rId1"/>
  <headerFooter alignWithMargins="0">
    <oddFooter>&amp;L&amp;"Arial,Bold"&amp;8&amp;F &amp;D &amp;T</oddFooter>
  </headerFooter>
</worksheet>
</file>

<file path=xl/worksheets/sheet6.xml><?xml version="1.0" encoding="utf-8"?>
<worksheet xmlns="http://schemas.openxmlformats.org/spreadsheetml/2006/main" xmlns:r="http://schemas.openxmlformats.org/officeDocument/2006/relationships">
  <sheetPr codeName="Sheet1">
    <pageSetUpPr fitToPage="1"/>
  </sheetPr>
  <dimension ref="A1:L291"/>
  <sheetViews>
    <sheetView zoomScale="75" zoomScaleNormal="75" workbookViewId="0" topLeftCell="A57">
      <selection activeCell="D62" sqref="D62"/>
    </sheetView>
  </sheetViews>
  <sheetFormatPr defaultColWidth="9.140625" defaultRowHeight="12.75"/>
  <cols>
    <col min="1" max="1" width="6.140625" style="0" customWidth="1"/>
    <col min="2" max="2" width="31.421875" style="0" customWidth="1"/>
    <col min="3" max="3" width="18.140625" style="0" customWidth="1"/>
    <col min="4" max="4" width="17.7109375" style="0" customWidth="1"/>
    <col min="5" max="6" width="15.140625" style="0" customWidth="1"/>
    <col min="7" max="7" width="13.421875" style="0" customWidth="1"/>
    <col min="8" max="8" width="12.8515625" style="0" customWidth="1"/>
    <col min="9" max="9" width="13.421875" style="0" customWidth="1"/>
    <col min="10" max="10" width="3.8515625" style="0" customWidth="1"/>
    <col min="11" max="11" width="15.421875" style="0" customWidth="1"/>
    <col min="12" max="12" width="14.140625" style="0" customWidth="1"/>
  </cols>
  <sheetData>
    <row r="1" spans="1:10" ht="24.75" customHeight="1" thickBot="1">
      <c r="A1" s="309"/>
      <c r="B1" s="1046" t="s">
        <v>83</v>
      </c>
      <c r="C1" s="1046"/>
      <c r="D1" s="1046"/>
      <c r="E1" s="1046"/>
      <c r="F1" s="1046"/>
      <c r="G1" s="1046"/>
      <c r="H1" s="1046"/>
      <c r="I1" s="1046"/>
      <c r="J1" s="311"/>
    </row>
    <row r="2" spans="1:10" ht="27" customHeight="1" thickBot="1" thickTop="1">
      <c r="A2" s="309"/>
      <c r="B2" s="1047" t="s">
        <v>84</v>
      </c>
      <c r="C2" s="1048"/>
      <c r="D2" s="1048"/>
      <c r="E2" s="1048"/>
      <c r="F2" s="1048"/>
      <c r="G2" s="1048"/>
      <c r="H2" s="1048"/>
      <c r="I2" s="1049"/>
      <c r="J2" s="312"/>
    </row>
    <row r="3" spans="1:10" ht="16.5" customHeight="1" thickTop="1">
      <c r="A3" s="309"/>
      <c r="B3" s="309"/>
      <c r="C3" s="309"/>
      <c r="D3" s="309"/>
      <c r="E3" s="309"/>
      <c r="F3" s="309"/>
      <c r="G3" s="309"/>
      <c r="H3" s="309"/>
      <c r="I3" s="309"/>
      <c r="J3" s="309"/>
    </row>
    <row r="4" spans="1:10" ht="25.5" customHeight="1">
      <c r="A4" s="293">
        <v>1</v>
      </c>
      <c r="B4" s="293" t="s">
        <v>85</v>
      </c>
      <c r="C4" s="85"/>
      <c r="D4" s="85"/>
      <c r="E4" s="86"/>
      <c r="F4" s="86"/>
      <c r="G4" s="86"/>
      <c r="H4" s="86"/>
      <c r="I4" s="86"/>
      <c r="J4" s="85"/>
    </row>
    <row r="5" spans="1:10" ht="15.75" customHeight="1">
      <c r="A5" s="85"/>
      <c r="B5" s="85" t="s">
        <v>86</v>
      </c>
      <c r="C5" s="85"/>
      <c r="D5" s="87"/>
      <c r="E5" s="136" t="s">
        <v>34</v>
      </c>
      <c r="F5" s="137" t="s">
        <v>35</v>
      </c>
      <c r="G5" s="137" t="s">
        <v>36</v>
      </c>
      <c r="H5" s="137" t="s">
        <v>87</v>
      </c>
      <c r="I5" s="137" t="s">
        <v>88</v>
      </c>
      <c r="J5" s="279"/>
    </row>
    <row r="6" spans="1:10" ht="12.75">
      <c r="A6" s="85"/>
      <c r="B6" s="85" t="s">
        <v>89</v>
      </c>
      <c r="C6" s="85"/>
      <c r="D6" s="87"/>
      <c r="E6" s="723" t="s">
        <v>90</v>
      </c>
      <c r="F6" s="723" t="s">
        <v>90</v>
      </c>
      <c r="G6" s="723" t="s">
        <v>90</v>
      </c>
      <c r="H6" s="723" t="s">
        <v>90</v>
      </c>
      <c r="I6" s="723" t="s">
        <v>90</v>
      </c>
      <c r="J6" s="280"/>
    </row>
    <row r="7" spans="1:10" ht="12.75">
      <c r="A7" s="85"/>
      <c r="B7" s="85" t="s">
        <v>24</v>
      </c>
      <c r="C7" s="85"/>
      <c r="D7" s="87"/>
      <c r="E7" s="723" t="s">
        <v>91</v>
      </c>
      <c r="F7" s="724" t="s">
        <v>92</v>
      </c>
      <c r="G7" s="724" t="s">
        <v>93</v>
      </c>
      <c r="H7" s="723" t="s">
        <v>94</v>
      </c>
      <c r="I7" s="723" t="s">
        <v>95</v>
      </c>
      <c r="J7" s="280"/>
    </row>
    <row r="8" spans="1:10" ht="12.75">
      <c r="A8" s="85"/>
      <c r="B8" s="85" t="s">
        <v>96</v>
      </c>
      <c r="C8" s="85"/>
      <c r="D8" s="87"/>
      <c r="E8" s="723" t="s">
        <v>15</v>
      </c>
      <c r="F8" s="723" t="s">
        <v>15</v>
      </c>
      <c r="G8" s="723" t="s">
        <v>15</v>
      </c>
      <c r="H8" s="723" t="s">
        <v>15</v>
      </c>
      <c r="I8" s="723" t="s">
        <v>15</v>
      </c>
      <c r="J8" s="280"/>
    </row>
    <row r="9" spans="1:10" ht="12.75">
      <c r="A9" s="85"/>
      <c r="B9" s="85" t="s">
        <v>97</v>
      </c>
      <c r="C9" s="85"/>
      <c r="D9" s="87"/>
      <c r="E9" s="723">
        <v>12</v>
      </c>
      <c r="F9" s="723">
        <v>18</v>
      </c>
      <c r="G9" s="723">
        <v>18</v>
      </c>
      <c r="H9" s="723">
        <v>21</v>
      </c>
      <c r="I9" s="723">
        <v>19</v>
      </c>
      <c r="J9" s="280"/>
    </row>
    <row r="10" spans="1:10" ht="12.75">
      <c r="A10" s="85"/>
      <c r="B10" s="85" t="s">
        <v>98</v>
      </c>
      <c r="C10" s="85"/>
      <c r="D10" s="87"/>
      <c r="E10" s="723" t="s">
        <v>99</v>
      </c>
      <c r="F10" s="723" t="s">
        <v>99</v>
      </c>
      <c r="G10" s="723" t="s">
        <v>99</v>
      </c>
      <c r="H10" s="723" t="s">
        <v>99</v>
      </c>
      <c r="I10" s="723" t="s">
        <v>99</v>
      </c>
      <c r="J10" s="280"/>
    </row>
    <row r="11" spans="1:10" ht="12.75">
      <c r="A11" s="85"/>
      <c r="B11" s="85" t="s">
        <v>100</v>
      </c>
      <c r="C11" s="85"/>
      <c r="D11" s="87"/>
      <c r="E11" s="723" t="s">
        <v>101</v>
      </c>
      <c r="F11" s="723" t="s">
        <v>101</v>
      </c>
      <c r="G11" s="723" t="s">
        <v>101</v>
      </c>
      <c r="H11" s="723" t="s">
        <v>101</v>
      </c>
      <c r="I11" s="723" t="s">
        <v>101</v>
      </c>
      <c r="J11" s="280"/>
    </row>
    <row r="12" spans="1:10" ht="12.75">
      <c r="A12" s="85"/>
      <c r="B12" s="85" t="s">
        <v>102</v>
      </c>
      <c r="C12" s="85"/>
      <c r="D12" s="87"/>
      <c r="E12" s="724" t="s">
        <v>103</v>
      </c>
      <c r="F12" s="724" t="s">
        <v>104</v>
      </c>
      <c r="G12" s="724" t="s">
        <v>105</v>
      </c>
      <c r="H12" s="724" t="s">
        <v>106</v>
      </c>
      <c r="I12" s="724" t="s">
        <v>107</v>
      </c>
      <c r="J12" s="281"/>
    </row>
    <row r="13" spans="1:10" ht="12.75">
      <c r="A13" s="85"/>
      <c r="B13" s="85" t="s">
        <v>108</v>
      </c>
      <c r="C13" s="85"/>
      <c r="D13" s="87"/>
      <c r="E13" s="725">
        <v>10.54</v>
      </c>
      <c r="F13" s="725">
        <v>29.23</v>
      </c>
      <c r="G13" s="725">
        <v>18.11</v>
      </c>
      <c r="H13" s="725">
        <v>32.26</v>
      </c>
      <c r="I13" s="725">
        <v>26.71</v>
      </c>
      <c r="J13" s="282"/>
    </row>
    <row r="14" spans="1:10" ht="12.75">
      <c r="A14" s="85"/>
      <c r="B14" s="85" t="s">
        <v>109</v>
      </c>
      <c r="C14" s="85"/>
      <c r="D14" s="87"/>
      <c r="E14" s="726">
        <v>1404</v>
      </c>
      <c r="F14" s="726">
        <v>2976</v>
      </c>
      <c r="G14" s="726">
        <v>3326</v>
      </c>
      <c r="H14" s="726">
        <v>5569</v>
      </c>
      <c r="I14" s="726">
        <v>5118</v>
      </c>
      <c r="J14" s="283"/>
    </row>
    <row r="15" spans="1:10" ht="15" customHeight="1">
      <c r="A15" s="85"/>
      <c r="B15" s="89" t="s">
        <v>110</v>
      </c>
      <c r="C15" s="85"/>
      <c r="D15" s="87" t="s">
        <v>111</v>
      </c>
      <c r="E15" s="727">
        <v>48</v>
      </c>
      <c r="F15" s="727">
        <v>180</v>
      </c>
      <c r="G15" s="727">
        <v>90</v>
      </c>
      <c r="H15" s="728">
        <v>195</v>
      </c>
      <c r="I15" s="728">
        <v>165</v>
      </c>
      <c r="J15" s="89"/>
    </row>
    <row r="16" spans="1:10" ht="12.75">
      <c r="A16" s="85"/>
      <c r="B16" s="90"/>
      <c r="C16" s="85"/>
      <c r="D16" s="87" t="s">
        <v>112</v>
      </c>
      <c r="E16" s="139">
        <f>+E15*('Scenario Costs All Facilities'!$L$7+'Scenario Costs All Facilities'!$N$7)</f>
        <v>465.59999999999997</v>
      </c>
      <c r="F16" s="139">
        <f>+F15*('Scenario Costs All Facilities'!$L$7+'Scenario Costs All Facilities'!$N$7)</f>
        <v>1745.9999999999998</v>
      </c>
      <c r="G16" s="139">
        <f>+G15*('Scenario Costs All Facilities'!$L$7+'Scenario Costs All Facilities'!$N$7)</f>
        <v>872.9999999999999</v>
      </c>
      <c r="H16" s="139">
        <f>+H15*('Scenario Costs All Facilities'!$L$7+'Scenario Costs All Facilities'!$N$7)</f>
        <v>1891.4999999999998</v>
      </c>
      <c r="I16" s="139">
        <f>+I15*('Scenario Costs All Facilities'!$L$7+'Scenario Costs All Facilities'!$N$7)</f>
        <v>1600.4999999999998</v>
      </c>
      <c r="J16" s="283"/>
    </row>
    <row r="17" spans="1:10" ht="12.75">
      <c r="A17" s="85"/>
      <c r="B17" s="90"/>
      <c r="C17" s="85"/>
      <c r="D17" s="236" t="s">
        <v>213</v>
      </c>
      <c r="E17" s="237">
        <f>+E16/E$14</f>
        <v>0.3316239316239316</v>
      </c>
      <c r="F17" s="237">
        <f>+F16/F$14</f>
        <v>0.5866935483870968</v>
      </c>
      <c r="G17" s="237">
        <f>+G16/G$14</f>
        <v>0.26247745039085985</v>
      </c>
      <c r="H17" s="237">
        <f>+H16/H$14</f>
        <v>0.33964805171485</v>
      </c>
      <c r="I17" s="237">
        <f>+I16/I$14</f>
        <v>0.31271981242672914</v>
      </c>
      <c r="J17" s="284"/>
    </row>
    <row r="18" spans="1:10" ht="12.75">
      <c r="A18" s="85"/>
      <c r="B18" s="89" t="s">
        <v>604</v>
      </c>
      <c r="C18" s="85"/>
      <c r="D18" s="87" t="s">
        <v>111</v>
      </c>
      <c r="E18" s="727">
        <v>40</v>
      </c>
      <c r="F18" s="727">
        <v>150</v>
      </c>
      <c r="G18" s="727">
        <v>80</v>
      </c>
      <c r="H18" s="727">
        <v>168</v>
      </c>
      <c r="I18" s="727">
        <v>135</v>
      </c>
      <c r="J18" s="284"/>
    </row>
    <row r="19" spans="1:10" ht="12.75">
      <c r="A19" s="85"/>
      <c r="B19" s="90"/>
      <c r="C19" s="85"/>
      <c r="D19" s="87" t="s">
        <v>112</v>
      </c>
      <c r="E19" s="139">
        <f>+E18*('Scenario Costs All Facilities'!$L$17+'Scenario Costs All Facilities'!$N$17)</f>
        <v>530</v>
      </c>
      <c r="F19" s="139">
        <f>+F18*('Scenario Costs All Facilities'!$L$17+'Scenario Costs All Facilities'!$N$17)</f>
        <v>1987.5</v>
      </c>
      <c r="G19" s="139">
        <f>+G18*('Scenario Costs All Facilities'!$L$17+'Scenario Costs All Facilities'!$N$17)</f>
        <v>1060</v>
      </c>
      <c r="H19" s="139">
        <f>+H18*('Scenario Costs All Facilities'!$L$17+'Scenario Costs All Facilities'!$N$17)</f>
        <v>2226</v>
      </c>
      <c r="I19" s="139">
        <f>+I18*('Scenario Costs All Facilities'!$L$17+'Scenario Costs All Facilities'!$N$17)</f>
        <v>1788.75</v>
      </c>
      <c r="J19" s="284"/>
    </row>
    <row r="20" spans="1:10" ht="12.75">
      <c r="A20" s="85"/>
      <c r="B20" s="90"/>
      <c r="C20" s="85"/>
      <c r="D20" s="236" t="s">
        <v>213</v>
      </c>
      <c r="E20" s="237">
        <f>+E19/E$14</f>
        <v>0.37749287749287747</v>
      </c>
      <c r="F20" s="237">
        <f>+F19/F$14</f>
        <v>0.6678427419354839</v>
      </c>
      <c r="G20" s="237">
        <f>+G19/G$14</f>
        <v>0.31870114251352977</v>
      </c>
      <c r="H20" s="237">
        <f>+H19/H$14</f>
        <v>0.39971269527742864</v>
      </c>
      <c r="I20" s="237">
        <f>+I19/I$14</f>
        <v>0.34950175849941384</v>
      </c>
      <c r="J20" s="284"/>
    </row>
    <row r="21" spans="1:10" ht="12.75">
      <c r="A21" s="85"/>
      <c r="B21" s="89" t="s">
        <v>605</v>
      </c>
      <c r="C21" s="85"/>
      <c r="D21" s="236"/>
      <c r="E21" s="774">
        <v>4</v>
      </c>
      <c r="F21" s="774">
        <v>8</v>
      </c>
      <c r="G21" s="774">
        <v>6</v>
      </c>
      <c r="H21" s="774">
        <v>10</v>
      </c>
      <c r="I21" s="774">
        <v>8</v>
      </c>
      <c r="J21" s="284"/>
    </row>
    <row r="22" spans="1:10" ht="12.75">
      <c r="A22" s="85"/>
      <c r="B22" s="775" t="s">
        <v>606</v>
      </c>
      <c r="C22" s="85"/>
      <c r="D22" s="236" t="s">
        <v>607</v>
      </c>
      <c r="E22" s="139">
        <f>E21*12</f>
        <v>48</v>
      </c>
      <c r="F22" s="139">
        <f>F21*12</f>
        <v>96</v>
      </c>
      <c r="G22" s="139">
        <f>G21*12</f>
        <v>72</v>
      </c>
      <c r="H22" s="139">
        <f>H21*12</f>
        <v>120</v>
      </c>
      <c r="I22" s="139">
        <f>I21*12</f>
        <v>96</v>
      </c>
      <c r="J22" s="284"/>
    </row>
    <row r="23" spans="1:10" ht="12.75">
      <c r="A23" s="85"/>
      <c r="B23" s="90"/>
      <c r="C23" s="85"/>
      <c r="D23" s="344" t="s">
        <v>608</v>
      </c>
      <c r="E23" s="139">
        <f>+E22*('Scenario Costs All Facilities'!$L$7+'Scenario Costs All Facilities'!$N$7)+E21*99</f>
        <v>861.5999999999999</v>
      </c>
      <c r="F23" s="139">
        <f>+F22*('Scenario Costs All Facilities'!$L$7+'Scenario Costs All Facilities'!$N$7)+F21*99</f>
        <v>1723.1999999999998</v>
      </c>
      <c r="G23" s="139">
        <f>+G22*('Scenario Costs All Facilities'!$L$7+'Scenario Costs All Facilities'!$N$7)+G21*99</f>
        <v>1292.4</v>
      </c>
      <c r="H23" s="139">
        <f>+H22*('Scenario Costs All Facilities'!$L$7+'Scenario Costs All Facilities'!$N$7)+H21*99</f>
        <v>2154</v>
      </c>
      <c r="I23" s="139">
        <f>+I22*('Scenario Costs All Facilities'!$L$7+'Scenario Costs All Facilities'!$N$7)+I21*99</f>
        <v>1723.1999999999998</v>
      </c>
      <c r="J23" s="284"/>
    </row>
    <row r="24" spans="1:10" ht="12.75">
      <c r="A24" s="85"/>
      <c r="B24" s="90"/>
      <c r="C24" s="85"/>
      <c r="D24" s="236" t="s">
        <v>213</v>
      </c>
      <c r="E24" s="237">
        <f>+E23/E$14</f>
        <v>0.6136752136752136</v>
      </c>
      <c r="F24" s="237">
        <f>+F23/F$14</f>
        <v>0.5790322580645161</v>
      </c>
      <c r="G24" s="237">
        <f>+G23/G$14</f>
        <v>0.3885748647023452</v>
      </c>
      <c r="H24" s="237">
        <f>+H23/H$14</f>
        <v>0.38678398276171666</v>
      </c>
      <c r="I24" s="237">
        <f>+I23/I$14</f>
        <v>0.3366940211019929</v>
      </c>
      <c r="J24" s="284"/>
    </row>
    <row r="25" spans="1:10" ht="12.75">
      <c r="A25" s="85"/>
      <c r="B25" s="775" t="s">
        <v>609</v>
      </c>
      <c r="C25" s="85"/>
      <c r="D25" s="236" t="s">
        <v>607</v>
      </c>
      <c r="E25" s="139">
        <f>E21*8</f>
        <v>32</v>
      </c>
      <c r="F25" s="139">
        <f>F21*8</f>
        <v>64</v>
      </c>
      <c r="G25" s="139">
        <f>G21*8</f>
        <v>48</v>
      </c>
      <c r="H25" s="139">
        <f>H21*8</f>
        <v>80</v>
      </c>
      <c r="I25" s="139">
        <f>I21*8</f>
        <v>64</v>
      </c>
      <c r="J25" s="284"/>
    </row>
    <row r="26" spans="1:10" ht="12.75">
      <c r="A26" s="85"/>
      <c r="B26" s="90"/>
      <c r="C26" s="85"/>
      <c r="D26" s="344" t="s">
        <v>608</v>
      </c>
      <c r="E26" s="139">
        <f>('Scenario Costs All Facilities'!$L$17+'Scenario Costs All Facilities'!$N$17)*'Transport Costs'!E25+'Transport Costs'!E21*99</f>
        <v>820</v>
      </c>
      <c r="F26" s="139">
        <f>('Scenario Costs All Facilities'!$L$17+'Scenario Costs All Facilities'!$N$17)*'Transport Costs'!F25+'Transport Costs'!F21*99</f>
        <v>1640</v>
      </c>
      <c r="G26" s="139">
        <f>('Scenario Costs All Facilities'!$L$17+'Scenario Costs All Facilities'!$N$17)*'Transport Costs'!G25+'Transport Costs'!G21*99</f>
        <v>1230</v>
      </c>
      <c r="H26" s="139">
        <f>('Scenario Costs All Facilities'!$L$17+'Scenario Costs All Facilities'!$N$17)*'Transport Costs'!H25+'Transport Costs'!H21*99</f>
        <v>2050</v>
      </c>
      <c r="I26" s="139">
        <f>('Scenario Costs All Facilities'!$L$17+'Scenario Costs All Facilities'!$N$17)*'Transport Costs'!I25+'Transport Costs'!I21*99</f>
        <v>1640</v>
      </c>
      <c r="J26" s="284"/>
    </row>
    <row r="27" spans="1:10" ht="12.75">
      <c r="A27" s="85"/>
      <c r="B27" s="90"/>
      <c r="C27" s="85"/>
      <c r="D27" s="236" t="s">
        <v>213</v>
      </c>
      <c r="E27" s="237">
        <f>+E26/E$14</f>
        <v>0.584045584045584</v>
      </c>
      <c r="F27" s="237">
        <f>+F26/F$14</f>
        <v>0.5510752688172043</v>
      </c>
      <c r="G27" s="237">
        <f>+G26/G$14</f>
        <v>0.36981358989777513</v>
      </c>
      <c r="H27" s="237">
        <f>+H26/H$14</f>
        <v>0.36810917579457714</v>
      </c>
      <c r="I27" s="237">
        <f>+I26/I$14</f>
        <v>0.3204376709652208</v>
      </c>
      <c r="J27" s="284"/>
    </row>
    <row r="28" spans="1:10" ht="12.75">
      <c r="A28" s="85"/>
      <c r="B28" s="89" t="s">
        <v>248</v>
      </c>
      <c r="C28" s="85"/>
      <c r="D28" s="87" t="s">
        <v>111</v>
      </c>
      <c r="E28" s="728">
        <v>15</v>
      </c>
      <c r="F28" s="728">
        <v>32</v>
      </c>
      <c r="G28" s="728">
        <v>21</v>
      </c>
      <c r="H28" s="728">
        <v>36</v>
      </c>
      <c r="I28" s="728">
        <v>32</v>
      </c>
      <c r="J28" s="89"/>
    </row>
    <row r="29" spans="1:10" ht="12.75">
      <c r="A29" s="85"/>
      <c r="B29" s="91"/>
      <c r="C29" s="85"/>
      <c r="D29" s="87" t="s">
        <v>112</v>
      </c>
      <c r="E29" s="138"/>
      <c r="F29" s="138"/>
      <c r="G29" s="138">
        <f>ROUND(+G28*'Scenario Costs All Facilities'!$N$14,0)</f>
        <v>420</v>
      </c>
      <c r="H29" s="138">
        <f>ROUND(+H28*'Scenario Costs All Facilities'!$N$14,0)</f>
        <v>720</v>
      </c>
      <c r="I29" s="138">
        <f>ROUND(+I28*'Scenario Costs All Facilities'!$N$14,0)</f>
        <v>640</v>
      </c>
      <c r="J29" s="93"/>
    </row>
    <row r="30" spans="1:10" ht="12.75">
      <c r="A30" s="85"/>
      <c r="B30" s="91"/>
      <c r="C30" s="85"/>
      <c r="D30" s="87" t="s">
        <v>212</v>
      </c>
      <c r="E30" s="138"/>
      <c r="F30" s="138"/>
      <c r="G30" s="139">
        <f>+G28*('Scenario Costs All Facilities'!$L$14+'Scenario Costs All Facilities'!$N$14)</f>
        <v>735</v>
      </c>
      <c r="H30" s="139">
        <f>+H28*('Scenario Costs All Facilities'!$L$14+'Scenario Costs All Facilities'!$N$14)</f>
        <v>1260</v>
      </c>
      <c r="I30" s="139">
        <f>+I28*('Scenario Costs All Facilities'!$L$14+'Scenario Costs All Facilities'!$N$14)</f>
        <v>1120</v>
      </c>
      <c r="J30" s="93"/>
    </row>
    <row r="31" spans="1:10" ht="12.75">
      <c r="A31" s="85"/>
      <c r="B31" s="91"/>
      <c r="C31" s="85"/>
      <c r="D31" s="236" t="s">
        <v>213</v>
      </c>
      <c r="E31" s="138"/>
      <c r="F31" s="138"/>
      <c r="G31" s="237">
        <f>+G30/G$14</f>
        <v>0.22098616957306072</v>
      </c>
      <c r="H31" s="237">
        <f>+H30/H$14</f>
        <v>0.2262524690249596</v>
      </c>
      <c r="I31" s="237">
        <f>+I30/I$14</f>
        <v>0.21883548261039468</v>
      </c>
      <c r="J31" s="284"/>
    </row>
    <row r="32" spans="1:10" ht="12.75">
      <c r="A32" s="85"/>
      <c r="B32" s="89" t="s">
        <v>642</v>
      </c>
      <c r="C32" s="85"/>
      <c r="D32" s="87" t="s">
        <v>111</v>
      </c>
      <c r="E32" s="729"/>
      <c r="F32" s="728">
        <v>12</v>
      </c>
      <c r="G32" s="728">
        <v>8</v>
      </c>
      <c r="H32" s="728">
        <v>15</v>
      </c>
      <c r="I32" s="728">
        <v>12</v>
      </c>
      <c r="J32" s="89"/>
    </row>
    <row r="33" spans="1:10" ht="12.75">
      <c r="A33" s="85"/>
      <c r="B33" s="85"/>
      <c r="C33" s="85"/>
      <c r="D33" s="87" t="s">
        <v>112</v>
      </c>
      <c r="E33" s="130"/>
      <c r="F33" s="130"/>
      <c r="G33" s="139">
        <f>+G32*'Scenario Costs All Facilities'!$N$15</f>
        <v>640</v>
      </c>
      <c r="H33" s="139">
        <f>+H32*'Scenario Costs All Facilities'!$N$15</f>
        <v>1200</v>
      </c>
      <c r="I33" s="139">
        <f>+I32*'Scenario Costs All Facilities'!$N$15</f>
        <v>960</v>
      </c>
      <c r="J33" s="283"/>
    </row>
    <row r="34" spans="1:10" ht="12.75">
      <c r="A34" s="85"/>
      <c r="B34" s="85"/>
      <c r="C34" s="85"/>
      <c r="D34" s="87" t="s">
        <v>212</v>
      </c>
      <c r="E34" s="130"/>
      <c r="F34" s="130"/>
      <c r="G34" s="139">
        <f>+G32*('Scenario Costs All Facilities'!$L$15+'Scenario Costs All Facilities'!$N$15)</f>
        <v>992</v>
      </c>
      <c r="H34" s="139">
        <f>+H32*('Scenario Costs All Facilities'!$L$15+'Scenario Costs All Facilities'!$N$15)</f>
        <v>1860</v>
      </c>
      <c r="I34" s="139">
        <f>+I32*('Scenario Costs All Facilities'!$L$15+'Scenario Costs All Facilities'!$N$15)</f>
        <v>1488</v>
      </c>
      <c r="J34" s="283"/>
    </row>
    <row r="35" spans="1:10" ht="12.75">
      <c r="A35" s="85"/>
      <c r="B35" s="85"/>
      <c r="C35" s="85"/>
      <c r="D35" s="236" t="s">
        <v>213</v>
      </c>
      <c r="E35" s="130"/>
      <c r="F35" s="130"/>
      <c r="G35" s="237">
        <f>+G34/G$14</f>
        <v>0.29825616355983164</v>
      </c>
      <c r="H35" s="237">
        <f>+H34/H$14</f>
        <v>0.3339917399892261</v>
      </c>
      <c r="I35" s="237">
        <f>+I34/I$14</f>
        <v>0.29073856975381007</v>
      </c>
      <c r="J35" s="284"/>
    </row>
    <row r="36" spans="1:10" ht="12.75">
      <c r="A36" s="85"/>
      <c r="B36" s="89" t="s">
        <v>646</v>
      </c>
      <c r="C36" s="85"/>
      <c r="D36" s="87" t="s">
        <v>111</v>
      </c>
      <c r="E36" s="729"/>
      <c r="F36" s="728">
        <v>12</v>
      </c>
      <c r="G36" s="728">
        <v>8</v>
      </c>
      <c r="H36" s="728">
        <v>13</v>
      </c>
      <c r="I36" s="728">
        <v>12</v>
      </c>
      <c r="J36" s="284"/>
    </row>
    <row r="37" spans="1:10" ht="12.75">
      <c r="A37" s="85"/>
      <c r="B37" s="85"/>
      <c r="C37" s="85"/>
      <c r="D37" s="87" t="s">
        <v>112</v>
      </c>
      <c r="E37" s="130"/>
      <c r="F37" s="130"/>
      <c r="G37" s="139">
        <f>+G36*'Scenario Costs All Facilities'!$N$16</f>
        <v>544</v>
      </c>
      <c r="H37" s="139">
        <f>+H36*'Scenario Costs All Facilities'!$N$16</f>
        <v>884</v>
      </c>
      <c r="I37" s="139">
        <f>+I36*'Scenario Costs All Facilities'!$N$16</f>
        <v>816</v>
      </c>
      <c r="J37" s="284"/>
    </row>
    <row r="38" spans="1:10" ht="12.75">
      <c r="A38" s="85"/>
      <c r="B38" s="85"/>
      <c r="C38" s="85"/>
      <c r="D38" s="87" t="s">
        <v>212</v>
      </c>
      <c r="E38" s="130"/>
      <c r="F38" s="130"/>
      <c r="G38" s="139">
        <f>+G36*('Scenario Costs All Facilities'!$L$16+'Scenario Costs All Facilities'!$N$16)</f>
        <v>904</v>
      </c>
      <c r="H38" s="139">
        <f>+H36*('Scenario Costs All Facilities'!$L$16+'Scenario Costs All Facilities'!$N$16)</f>
        <v>1469</v>
      </c>
      <c r="I38" s="139">
        <f>+I36*('Scenario Costs All Facilities'!$L$16+'Scenario Costs All Facilities'!$N$16)</f>
        <v>1356</v>
      </c>
      <c r="J38" s="284"/>
    </row>
    <row r="39" spans="1:10" ht="12.75">
      <c r="A39" s="85"/>
      <c r="B39" s="85"/>
      <c r="C39" s="85"/>
      <c r="D39" s="236" t="s">
        <v>213</v>
      </c>
      <c r="E39" s="130"/>
      <c r="F39" s="130"/>
      <c r="G39" s="237">
        <f>+G38/G$14</f>
        <v>0.2717979555021046</v>
      </c>
      <c r="H39" s="237">
        <f>+H38/H$14</f>
        <v>0.2637816484108457</v>
      </c>
      <c r="I39" s="237">
        <f>+I38/I$14</f>
        <v>0.264947245017585</v>
      </c>
      <c r="J39" s="284"/>
    </row>
    <row r="40" spans="1:11" ht="12.75">
      <c r="A40" s="85"/>
      <c r="B40" s="85"/>
      <c r="C40" s="85"/>
      <c r="D40" s="85"/>
      <c r="E40" s="85"/>
      <c r="F40" s="85"/>
      <c r="G40" s="85"/>
      <c r="H40" s="85"/>
      <c r="I40" s="85"/>
      <c r="J40" s="85"/>
      <c r="K40" s="22"/>
    </row>
    <row r="41" spans="1:11" ht="18">
      <c r="A41" s="238">
        <v>2</v>
      </c>
      <c r="B41" s="238" t="s">
        <v>113</v>
      </c>
      <c r="C41" s="85"/>
      <c r="D41" s="85"/>
      <c r="E41" s="86"/>
      <c r="F41" s="86"/>
      <c r="G41" s="86"/>
      <c r="H41" s="86"/>
      <c r="I41" s="86"/>
      <c r="J41" s="85"/>
      <c r="K41" s="22"/>
    </row>
    <row r="42" spans="1:10" ht="12.75">
      <c r="A42" s="85"/>
      <c r="B42" s="22"/>
      <c r="C42" s="135" t="s">
        <v>114</v>
      </c>
      <c r="D42" s="87"/>
      <c r="E42" s="94">
        <v>170000</v>
      </c>
      <c r="F42" s="94">
        <v>275000</v>
      </c>
      <c r="G42" s="94">
        <v>274000</v>
      </c>
      <c r="H42" s="94">
        <v>363000</v>
      </c>
      <c r="I42" s="94">
        <v>418000</v>
      </c>
      <c r="J42" s="109"/>
    </row>
    <row r="43" spans="1:10" ht="12.75">
      <c r="A43" s="85"/>
      <c r="B43" s="22"/>
      <c r="C43" s="329" t="s">
        <v>115</v>
      </c>
      <c r="D43" s="87" t="s">
        <v>16</v>
      </c>
      <c r="E43" s="94">
        <v>3150</v>
      </c>
      <c r="F43" s="94">
        <v>4800</v>
      </c>
      <c r="G43" s="94">
        <v>4800</v>
      </c>
      <c r="H43" s="94">
        <v>8200</v>
      </c>
      <c r="I43" s="94">
        <v>8200</v>
      </c>
      <c r="J43" s="109"/>
    </row>
    <row r="44" spans="1:10" ht="12.75">
      <c r="A44" s="85"/>
      <c r="B44" s="85"/>
      <c r="C44" s="103"/>
      <c r="D44" s="87" t="s">
        <v>116</v>
      </c>
      <c r="E44" s="94">
        <v>31000</v>
      </c>
      <c r="F44" s="94">
        <v>52000</v>
      </c>
      <c r="G44" s="94">
        <v>55000</v>
      </c>
      <c r="H44" s="94">
        <v>73000</v>
      </c>
      <c r="I44" s="94">
        <v>84000</v>
      </c>
      <c r="J44" s="109"/>
    </row>
    <row r="45" spans="1:10" ht="13.5" thickBot="1">
      <c r="A45" s="85"/>
      <c r="B45" s="22"/>
      <c r="C45" s="135" t="s">
        <v>117</v>
      </c>
      <c r="D45" s="87"/>
      <c r="E45" s="94">
        <f>E42-E43-E44</f>
        <v>135850</v>
      </c>
      <c r="F45" s="94">
        <f>F42-F43-F44</f>
        <v>218200</v>
      </c>
      <c r="G45" s="94">
        <f>G42-G43-G44</f>
        <v>214200</v>
      </c>
      <c r="H45" s="94">
        <f>H42-H43-H44</f>
        <v>281800</v>
      </c>
      <c r="I45" s="94">
        <f>I42-I43-I44</f>
        <v>325800</v>
      </c>
      <c r="J45" s="109"/>
    </row>
    <row r="46" spans="1:10" ht="15.75" customHeight="1" thickBot="1">
      <c r="A46" s="85"/>
      <c r="B46" s="22"/>
      <c r="C46" s="326" t="s">
        <v>249</v>
      </c>
      <c r="D46" s="325">
        <v>5</v>
      </c>
      <c r="E46" s="94">
        <f>E45/$D46</f>
        <v>27170</v>
      </c>
      <c r="F46" s="94">
        <f>F45/$D46</f>
        <v>43640</v>
      </c>
      <c r="G46" s="94">
        <f>G45/$D46</f>
        <v>42840</v>
      </c>
      <c r="H46" s="94">
        <f>H45/$D46</f>
        <v>56360</v>
      </c>
      <c r="I46" s="94">
        <f>I45/$D46</f>
        <v>65160</v>
      </c>
      <c r="J46" s="109"/>
    </row>
    <row r="47" spans="1:10" ht="17.25" customHeight="1">
      <c r="A47" s="85"/>
      <c r="B47" s="85"/>
      <c r="C47" s="85"/>
      <c r="D47" s="85"/>
      <c r="E47" s="92"/>
      <c r="F47" s="85"/>
      <c r="G47" s="88"/>
      <c r="H47" s="88"/>
      <c r="I47" s="88"/>
      <c r="J47" s="88"/>
    </row>
    <row r="48" spans="1:10" ht="16.5" customHeight="1">
      <c r="A48" s="85"/>
      <c r="B48" s="89" t="s">
        <v>118</v>
      </c>
      <c r="C48" s="85"/>
      <c r="D48" s="85"/>
      <c r="E48" s="144"/>
      <c r="F48" s="109"/>
      <c r="G48" s="95"/>
      <c r="H48" s="95"/>
      <c r="I48" s="95"/>
      <c r="J48" s="95"/>
    </row>
    <row r="49" spans="1:10" ht="12.75">
      <c r="A49" s="85"/>
      <c r="B49" s="22"/>
      <c r="C49" s="135" t="s">
        <v>119</v>
      </c>
      <c r="D49" s="345">
        <f>+'Scenario Costs All Facilities'!$Q$45</f>
        <v>0.12</v>
      </c>
      <c r="E49" s="94">
        <f>E42*$D49</f>
        <v>20400</v>
      </c>
      <c r="F49" s="94">
        <f>F42*$D49</f>
        <v>33000</v>
      </c>
      <c r="G49" s="94">
        <f>G42*$D49</f>
        <v>32880</v>
      </c>
      <c r="H49" s="94">
        <f>H42*$D49</f>
        <v>43560</v>
      </c>
      <c r="I49" s="94">
        <f>I42*$D49</f>
        <v>50160</v>
      </c>
      <c r="J49" s="109"/>
    </row>
    <row r="50" spans="1:10" ht="12.75">
      <c r="A50" s="85"/>
      <c r="B50" s="22"/>
      <c r="C50" s="135" t="s">
        <v>7</v>
      </c>
      <c r="D50" s="344"/>
      <c r="E50" s="94">
        <f>E46</f>
        <v>27170</v>
      </c>
      <c r="F50" s="94">
        <f>F46</f>
        <v>43640</v>
      </c>
      <c r="G50" s="94">
        <f>G46</f>
        <v>42840</v>
      </c>
      <c r="H50" s="94">
        <f>H46</f>
        <v>56360</v>
      </c>
      <c r="I50" s="94">
        <f>I46</f>
        <v>65160</v>
      </c>
      <c r="J50" s="109"/>
    </row>
    <row r="51" spans="1:10" ht="12.75">
      <c r="A51" s="85"/>
      <c r="B51" s="22"/>
      <c r="C51" s="135" t="s">
        <v>120</v>
      </c>
      <c r="D51" s="806">
        <v>0.1</v>
      </c>
      <c r="E51" s="94">
        <f>E42*$D51</f>
        <v>17000</v>
      </c>
      <c r="F51" s="94">
        <f>F42*$D51</f>
        <v>27500</v>
      </c>
      <c r="G51" s="94">
        <f>G42*$D51</f>
        <v>27400</v>
      </c>
      <c r="H51" s="94">
        <f>H42*$D51</f>
        <v>36300</v>
      </c>
      <c r="I51" s="94">
        <f>I42*$D51</f>
        <v>41800</v>
      </c>
      <c r="J51" s="109"/>
    </row>
    <row r="52" spans="1:10" ht="12.75">
      <c r="A52" s="85"/>
      <c r="B52" s="22"/>
      <c r="C52" s="135" t="s">
        <v>121</v>
      </c>
      <c r="D52" s="87"/>
      <c r="E52" s="94">
        <v>400</v>
      </c>
      <c r="F52" s="94">
        <v>900</v>
      </c>
      <c r="G52" s="94">
        <v>750</v>
      </c>
      <c r="H52" s="94">
        <v>1100</v>
      </c>
      <c r="I52" s="94">
        <v>900</v>
      </c>
      <c r="J52" s="109"/>
    </row>
    <row r="53" spans="1:10" ht="17.25" customHeight="1">
      <c r="A53" s="85"/>
      <c r="B53" s="85"/>
      <c r="C53" s="22"/>
      <c r="D53" s="101" t="s">
        <v>122</v>
      </c>
      <c r="E53" s="124">
        <f>SUM(E49:E52)</f>
        <v>64970</v>
      </c>
      <c r="F53" s="125">
        <f>SUM(F49:F52)</f>
        <v>105040</v>
      </c>
      <c r="G53" s="125">
        <f>SUM(G49:G52)</f>
        <v>103870</v>
      </c>
      <c r="H53" s="125">
        <f>SUM(H49:H52)</f>
        <v>137320</v>
      </c>
      <c r="I53" s="125">
        <f>SUM(I49:I52)</f>
        <v>158020</v>
      </c>
      <c r="J53" s="285"/>
    </row>
    <row r="54" spans="1:10" ht="15.75" customHeight="1">
      <c r="A54" s="85"/>
      <c r="B54" s="85"/>
      <c r="C54" s="22"/>
      <c r="D54" s="294" t="s">
        <v>233</v>
      </c>
      <c r="E54" s="94">
        <v>0</v>
      </c>
      <c r="F54" s="94">
        <v>0</v>
      </c>
      <c r="G54" s="94">
        <f>IF($C84=1,0,ROUND(G42*0.25*($D49+$D51+1/$D46),-2))</f>
        <v>0</v>
      </c>
      <c r="H54" s="94">
        <f>IF($C84=1,0,ROUND(H42*0.25*($D49+$D51+1/$D46),-2))</f>
        <v>0</v>
      </c>
      <c r="I54" s="94">
        <f>IF($C84=1,0,ROUND(I42*0.25*($D49+$D51+1/$D46),-2))</f>
        <v>0</v>
      </c>
      <c r="J54" s="285"/>
    </row>
    <row r="55" spans="1:10" ht="24" customHeight="1">
      <c r="A55" s="85"/>
      <c r="B55" s="89" t="s">
        <v>123</v>
      </c>
      <c r="C55" s="85"/>
      <c r="D55" s="88"/>
      <c r="E55" s="88"/>
      <c r="F55" s="88"/>
      <c r="G55" s="88"/>
      <c r="H55" s="88"/>
      <c r="I55" s="88"/>
      <c r="J55" s="88"/>
    </row>
    <row r="56" spans="1:10" ht="12.75">
      <c r="A56" s="85"/>
      <c r="B56" s="22"/>
      <c r="C56" s="135" t="s">
        <v>124</v>
      </c>
      <c r="D56" s="87"/>
      <c r="E56" s="97">
        <v>0.3</v>
      </c>
      <c r="F56" s="97">
        <v>0.4</v>
      </c>
      <c r="G56" s="97">
        <v>0.4</v>
      </c>
      <c r="H56" s="97">
        <v>0.55</v>
      </c>
      <c r="I56" s="97">
        <v>0.55</v>
      </c>
      <c r="J56" s="286"/>
    </row>
    <row r="57" spans="1:10" ht="12.75">
      <c r="A57" s="85"/>
      <c r="B57" s="22"/>
      <c r="C57" s="135" t="s">
        <v>125</v>
      </c>
      <c r="D57" s="394">
        <v>40000</v>
      </c>
      <c r="E57" s="97">
        <f>E43/$D57</f>
        <v>0.07875</v>
      </c>
      <c r="F57" s="97">
        <f>F43/$D57</f>
        <v>0.12</v>
      </c>
      <c r="G57" s="97">
        <f>G43/$D57</f>
        <v>0.12</v>
      </c>
      <c r="H57" s="97">
        <f>H43/$D57</f>
        <v>0.205</v>
      </c>
      <c r="I57" s="97">
        <f>I43/$D57</f>
        <v>0.205</v>
      </c>
      <c r="J57" s="286"/>
    </row>
    <row r="58" spans="1:10" ht="12.75">
      <c r="A58" s="85"/>
      <c r="B58" s="22"/>
      <c r="C58" s="326" t="s">
        <v>244</v>
      </c>
      <c r="D58" s="346">
        <f>+'Scenario Costs All Facilities'!Q27</f>
        <v>4.3</v>
      </c>
      <c r="E58" s="97">
        <f>E9*$D58/100</f>
        <v>0.5159999999999999</v>
      </c>
      <c r="F58" s="97">
        <f>F9*$D58/100</f>
        <v>0.7739999999999999</v>
      </c>
      <c r="G58" s="97">
        <f>G9*$D58/100</f>
        <v>0.7739999999999999</v>
      </c>
      <c r="H58" s="97">
        <f>H9*$D58/100</f>
        <v>0.903</v>
      </c>
      <c r="I58" s="97">
        <f>I9*$D58/100</f>
        <v>0.8170000000000001</v>
      </c>
      <c r="J58" s="286"/>
    </row>
    <row r="59" spans="1:10" ht="14.25" customHeight="1">
      <c r="A59" s="85"/>
      <c r="B59" s="85"/>
      <c r="C59" s="22"/>
      <c r="D59" s="101" t="s">
        <v>126</v>
      </c>
      <c r="E59" s="142">
        <f>SUM(E56:E58)</f>
        <v>0.8947499999999999</v>
      </c>
      <c r="F59" s="143">
        <f>SUM(F56:F58)</f>
        <v>1.294</v>
      </c>
      <c r="G59" s="143">
        <f>SUM(G56:G58)</f>
        <v>1.294</v>
      </c>
      <c r="H59" s="143">
        <f>SUM(H56:H58)</f>
        <v>1.658</v>
      </c>
      <c r="I59" s="143">
        <f>SUM(I56:I58)</f>
        <v>1.572</v>
      </c>
      <c r="J59" s="287"/>
    </row>
    <row r="60" spans="1:11" ht="12.75">
      <c r="A60" s="85"/>
      <c r="B60" s="85"/>
      <c r="C60" s="85"/>
      <c r="D60" s="85"/>
      <c r="E60" s="98"/>
      <c r="K60" s="22"/>
    </row>
    <row r="61" spans="1:12" ht="22.5" customHeight="1">
      <c r="A61" s="293">
        <v>3</v>
      </c>
      <c r="B61" s="293" t="s">
        <v>206</v>
      </c>
      <c r="C61" s="85"/>
      <c r="D61" s="140" t="s">
        <v>127</v>
      </c>
      <c r="E61" s="141" t="s">
        <v>128</v>
      </c>
      <c r="L61" s="239"/>
    </row>
    <row r="62" spans="1:5" ht="18" customHeight="1">
      <c r="A62" s="85"/>
      <c r="B62" s="99" t="s">
        <v>129</v>
      </c>
      <c r="C62" s="85" t="s">
        <v>130</v>
      </c>
      <c r="D62" s="395">
        <v>3000</v>
      </c>
      <c r="E62" s="94">
        <f>D62*12</f>
        <v>36000</v>
      </c>
    </row>
    <row r="63" spans="1:5" ht="12.75">
      <c r="A63" s="85"/>
      <c r="B63" s="85"/>
      <c r="C63" s="85" t="s">
        <v>131</v>
      </c>
      <c r="D63" s="395"/>
      <c r="E63" s="94">
        <v>3500</v>
      </c>
    </row>
    <row r="64" spans="1:5" ht="12.75">
      <c r="A64" s="85"/>
      <c r="B64" s="85"/>
      <c r="C64" s="85" t="s">
        <v>132</v>
      </c>
      <c r="D64" s="395">
        <v>500</v>
      </c>
      <c r="E64" s="94">
        <f>D64*12</f>
        <v>6000</v>
      </c>
    </row>
    <row r="65" spans="1:5" ht="12.75">
      <c r="A65" s="85"/>
      <c r="B65" s="85"/>
      <c r="C65" s="85" t="s">
        <v>133</v>
      </c>
      <c r="D65" s="395">
        <f>0.07*D62</f>
        <v>210.00000000000003</v>
      </c>
      <c r="E65" s="94">
        <f>D65*12</f>
        <v>2520.0000000000005</v>
      </c>
    </row>
    <row r="66" spans="1:5" ht="12.75">
      <c r="A66" s="85"/>
      <c r="B66" s="85"/>
      <c r="C66" s="85" t="s">
        <v>134</v>
      </c>
      <c r="D66" s="395">
        <f>0.01*D62</f>
        <v>30</v>
      </c>
      <c r="E66" s="94">
        <f>D66*12</f>
        <v>360</v>
      </c>
    </row>
    <row r="67" spans="1:5" ht="12.75">
      <c r="A67" s="85"/>
      <c r="B67" s="85"/>
      <c r="C67" s="85" t="s">
        <v>135</v>
      </c>
      <c r="D67" s="395"/>
      <c r="E67" s="94">
        <f>D67*12</f>
        <v>0</v>
      </c>
    </row>
    <row r="68" spans="1:5" ht="12.75">
      <c r="A68" s="85"/>
      <c r="B68" s="93"/>
      <c r="C68" s="85" t="s">
        <v>14</v>
      </c>
      <c r="D68" s="395"/>
      <c r="E68" s="94">
        <f>D68*12</f>
        <v>0</v>
      </c>
    </row>
    <row r="69" spans="1:5" ht="12.75">
      <c r="A69" s="85"/>
      <c r="B69" s="85"/>
      <c r="C69" s="85" t="s">
        <v>56</v>
      </c>
      <c r="D69" s="396">
        <f>SUM(D62:D68)</f>
        <v>3740</v>
      </c>
      <c r="E69" s="96">
        <f>SUM(E62:E68)</f>
        <v>48380</v>
      </c>
    </row>
    <row r="70" spans="1:5" ht="12.75">
      <c r="A70" s="85"/>
      <c r="B70" s="85"/>
      <c r="C70" s="85"/>
      <c r="D70" s="395"/>
      <c r="E70" s="96"/>
    </row>
    <row r="71" spans="1:5" ht="12.75">
      <c r="A71" s="85"/>
      <c r="B71" s="99" t="s">
        <v>136</v>
      </c>
      <c r="C71" s="85" t="s">
        <v>130</v>
      </c>
      <c r="D71" s="395">
        <v>1800</v>
      </c>
      <c r="E71" s="94">
        <f>D71*12</f>
        <v>21600</v>
      </c>
    </row>
    <row r="72" spans="1:5" ht="12.75">
      <c r="A72" s="85"/>
      <c r="B72" s="85"/>
      <c r="C72" s="85" t="s">
        <v>131</v>
      </c>
      <c r="D72" s="395"/>
      <c r="E72" s="94"/>
    </row>
    <row r="73" spans="1:5" ht="12.75">
      <c r="A73" s="85"/>
      <c r="B73" s="85"/>
      <c r="C73" s="85" t="s">
        <v>132</v>
      </c>
      <c r="D73" s="395">
        <v>400</v>
      </c>
      <c r="E73" s="94">
        <f>D73*12</f>
        <v>4800</v>
      </c>
    </row>
    <row r="74" spans="1:5" ht="12.75">
      <c r="A74" s="85"/>
      <c r="B74" s="85"/>
      <c r="C74" s="85" t="s">
        <v>133</v>
      </c>
      <c r="D74" s="395">
        <f>0.07*D71</f>
        <v>126.00000000000001</v>
      </c>
      <c r="E74" s="94">
        <f>D74*12</f>
        <v>1512.0000000000002</v>
      </c>
    </row>
    <row r="75" spans="1:5" ht="12.75">
      <c r="A75" s="85"/>
      <c r="B75" s="85"/>
      <c r="C75" s="85" t="s">
        <v>134</v>
      </c>
      <c r="D75" s="395">
        <f>0.01*D71</f>
        <v>18</v>
      </c>
      <c r="E75" s="94">
        <f>D75*12</f>
        <v>216</v>
      </c>
    </row>
    <row r="76" spans="1:5" ht="12.75">
      <c r="A76" s="85"/>
      <c r="B76" s="85"/>
      <c r="C76" s="85" t="s">
        <v>135</v>
      </c>
      <c r="D76" s="395"/>
      <c r="E76" s="94">
        <f>D76*12</f>
        <v>0</v>
      </c>
    </row>
    <row r="77" spans="1:5" ht="12.75">
      <c r="A77" s="85"/>
      <c r="B77" s="85"/>
      <c r="C77" s="85" t="s">
        <v>14</v>
      </c>
      <c r="D77" s="395"/>
      <c r="E77" s="94">
        <f>D77*12</f>
        <v>0</v>
      </c>
    </row>
    <row r="78" spans="1:5" ht="12.75">
      <c r="A78" s="85"/>
      <c r="B78" s="85"/>
      <c r="C78" s="85" t="s">
        <v>56</v>
      </c>
      <c r="D78" s="100">
        <f>SUM(D71:D77)</f>
        <v>2344</v>
      </c>
      <c r="E78" s="96">
        <f>SUM(E71:E77)</f>
        <v>28128</v>
      </c>
    </row>
    <row r="79" spans="1:5" ht="18.75" customHeight="1">
      <c r="A79" s="85"/>
      <c r="B79" s="89" t="s">
        <v>221</v>
      </c>
      <c r="C79" s="85"/>
      <c r="D79" s="243"/>
      <c r="E79" s="244">
        <f>+E78*2</f>
        <v>56256</v>
      </c>
    </row>
    <row r="80" spans="1:10" ht="12.75">
      <c r="A80" s="85"/>
      <c r="B80" s="85"/>
      <c r="C80" s="85"/>
      <c r="D80" s="85"/>
      <c r="E80" s="88"/>
      <c r="F80" s="88"/>
      <c r="G80" s="88"/>
      <c r="H80" s="88"/>
      <c r="I80" s="88"/>
      <c r="J80" s="88"/>
    </row>
    <row r="81" spans="1:10" ht="16.5" customHeight="1">
      <c r="A81" s="85"/>
      <c r="C81" s="132"/>
      <c r="D81" s="101" t="s">
        <v>209</v>
      </c>
      <c r="E81" s="124">
        <f>E69+E79</f>
        <v>104636</v>
      </c>
      <c r="F81" s="125">
        <f>+$E81</f>
        <v>104636</v>
      </c>
      <c r="G81" s="125">
        <f>+$E81</f>
        <v>104636</v>
      </c>
      <c r="H81" s="125">
        <f>+$E81</f>
        <v>104636</v>
      </c>
      <c r="I81" s="125">
        <f>+$E81</f>
        <v>104636</v>
      </c>
      <c r="J81" s="285"/>
    </row>
    <row r="82" spans="1:10" ht="15.75" customHeight="1">
      <c r="A82" s="85"/>
      <c r="B82" s="99"/>
      <c r="C82" s="85"/>
      <c r="D82" s="85"/>
      <c r="E82" s="92"/>
      <c r="F82" s="102"/>
      <c r="G82" s="102"/>
      <c r="H82" s="102"/>
      <c r="I82" s="102"/>
      <c r="J82" s="288"/>
    </row>
    <row r="83" spans="1:10" ht="23.25" customHeight="1" thickBot="1">
      <c r="A83" s="293">
        <v>4</v>
      </c>
      <c r="B83" s="293" t="s">
        <v>137</v>
      </c>
      <c r="C83" s="85"/>
      <c r="D83" s="85"/>
      <c r="E83" s="85"/>
      <c r="F83" s="85"/>
      <c r="G83" s="85"/>
      <c r="H83" s="85"/>
      <c r="I83" s="85"/>
      <c r="J83" s="85"/>
    </row>
    <row r="84" spans="1:10" ht="29.25" customHeight="1" thickBot="1">
      <c r="A84" s="238"/>
      <c r="B84" s="330" t="s">
        <v>223</v>
      </c>
      <c r="C84" s="324">
        <v>1</v>
      </c>
      <c r="E84" s="331" t="s">
        <v>224</v>
      </c>
      <c r="F84" s="85"/>
      <c r="G84" s="85"/>
      <c r="H84" s="85"/>
      <c r="I84" s="85"/>
      <c r="J84" s="85"/>
    </row>
    <row r="85" spans="1:5" ht="17.25" customHeight="1">
      <c r="A85" s="22"/>
      <c r="B85" s="22"/>
      <c r="C85" s="103"/>
      <c r="D85" s="104" t="s">
        <v>138</v>
      </c>
      <c r="E85" s="22"/>
    </row>
    <row r="86" spans="1:12" ht="12.75" customHeight="1">
      <c r="A86" s="22"/>
      <c r="B86" s="133" t="s">
        <v>139</v>
      </c>
      <c r="C86" s="106" t="s">
        <v>140</v>
      </c>
      <c r="D86" s="107">
        <v>0.8</v>
      </c>
      <c r="E86" s="94">
        <f>ROUND(+E15*$D86,0)</f>
        <v>38</v>
      </c>
      <c r="F86" s="94">
        <f>ROUND(+F15*$D86,0)</f>
        <v>144</v>
      </c>
      <c r="G86" s="94">
        <f>ROUND(+G15*$D86,0)</f>
        <v>72</v>
      </c>
      <c r="H86" s="94">
        <f>ROUND(+H15*$D86,0)</f>
        <v>156</v>
      </c>
      <c r="I86" s="94">
        <f>ROUND(+I15*$D86,0)</f>
        <v>132</v>
      </c>
      <c r="J86" s="109"/>
      <c r="K86" s="1050" t="s">
        <v>234</v>
      </c>
      <c r="L86" s="1051"/>
    </row>
    <row r="87" spans="1:12" ht="12.75" customHeight="1">
      <c r="A87" s="22"/>
      <c r="B87" s="133"/>
      <c r="C87" s="106" t="s">
        <v>568</v>
      </c>
      <c r="D87" s="107">
        <v>0.8</v>
      </c>
      <c r="E87" s="94">
        <f>ROUND(+E18*$D87,0)</f>
        <v>32</v>
      </c>
      <c r="F87" s="94">
        <f>ROUND(+F18*$D87,0)</f>
        <v>120</v>
      </c>
      <c r="G87" s="94">
        <f>ROUND(+G18*$D87,0)</f>
        <v>64</v>
      </c>
      <c r="H87" s="94">
        <f>ROUND(+H18*$D87,0)</f>
        <v>134</v>
      </c>
      <c r="I87" s="94">
        <f>ROUND(+I18*$D87,0)</f>
        <v>108</v>
      </c>
      <c r="J87" s="109"/>
      <c r="K87" s="1052"/>
      <c r="L87" s="1053"/>
    </row>
    <row r="88" spans="1:12" ht="12.75" customHeight="1">
      <c r="A88" s="22"/>
      <c r="B88" s="133"/>
      <c r="C88" s="777" t="s">
        <v>612</v>
      </c>
      <c r="D88" s="107">
        <v>0.8</v>
      </c>
      <c r="E88" s="94">
        <f>ROUND($D$88*E21,0)</f>
        <v>3</v>
      </c>
      <c r="F88" s="94">
        <f>ROUND($D$88*F21,0)</f>
        <v>6</v>
      </c>
      <c r="G88" s="94">
        <f>ROUND($D$88*G21,0)</f>
        <v>5</v>
      </c>
      <c r="H88" s="94">
        <f>ROUND($D$88*H21,0)</f>
        <v>8</v>
      </c>
      <c r="I88" s="94">
        <f>ROUND($D$88*I21,0)</f>
        <v>6</v>
      </c>
      <c r="J88" s="109"/>
      <c r="K88" s="1052"/>
      <c r="L88" s="1053"/>
    </row>
    <row r="89" spans="1:12" ht="12.75" customHeight="1">
      <c r="A89" s="22"/>
      <c r="B89" s="133"/>
      <c r="C89" s="776" t="s">
        <v>610</v>
      </c>
      <c r="D89" s="107"/>
      <c r="E89" s="94">
        <f>12*E88</f>
        <v>36</v>
      </c>
      <c r="F89" s="94">
        <f>12*F88</f>
        <v>72</v>
      </c>
      <c r="G89" s="94">
        <f>12*G88</f>
        <v>60</v>
      </c>
      <c r="H89" s="94">
        <f>12*H88</f>
        <v>96</v>
      </c>
      <c r="I89" s="94">
        <f>12*I88</f>
        <v>72</v>
      </c>
      <c r="J89" s="109"/>
      <c r="K89" s="1052"/>
      <c r="L89" s="1053"/>
    </row>
    <row r="90" spans="1:12" ht="12.75" customHeight="1">
      <c r="A90" s="22"/>
      <c r="B90" s="133"/>
      <c r="C90" s="776" t="s">
        <v>611</v>
      </c>
      <c r="D90" s="107"/>
      <c r="E90" s="94">
        <f>8*E88</f>
        <v>24</v>
      </c>
      <c r="F90" s="94">
        <f>8*F88</f>
        <v>48</v>
      </c>
      <c r="G90" s="94">
        <f>8*G88</f>
        <v>40</v>
      </c>
      <c r="H90" s="94">
        <f>8*H88</f>
        <v>64</v>
      </c>
      <c r="I90" s="94">
        <f>8*I88</f>
        <v>48</v>
      </c>
      <c r="J90" s="109"/>
      <c r="K90" s="1052"/>
      <c r="L90" s="1053"/>
    </row>
    <row r="91" spans="1:12" ht="12.75" customHeight="1">
      <c r="A91" s="22"/>
      <c r="B91" s="103"/>
      <c r="C91" s="106" t="s">
        <v>141</v>
      </c>
      <c r="D91" s="107">
        <v>0.8</v>
      </c>
      <c r="E91" s="94">
        <f>ROUND(+E28*$D91,0)</f>
        <v>12</v>
      </c>
      <c r="F91" s="94">
        <f>ROUND(+F28*$D91,0)</f>
        <v>26</v>
      </c>
      <c r="G91" s="94">
        <f>ROUND(+G28*$D91,0)*$C$84</f>
        <v>17</v>
      </c>
      <c r="H91" s="94">
        <f>ROUND(+H28*$D91,0)*$C$84</f>
        <v>29</v>
      </c>
      <c r="I91" s="94">
        <f>ROUND(+I28*$D91,0)*$C$84</f>
        <v>26</v>
      </c>
      <c r="J91" s="109"/>
      <c r="K91" s="1052"/>
      <c r="L91" s="1053"/>
    </row>
    <row r="92" spans="1:12" ht="12.75" customHeight="1">
      <c r="A92" s="22"/>
      <c r="B92" s="103"/>
      <c r="C92" s="106" t="s">
        <v>643</v>
      </c>
      <c r="D92" s="107">
        <v>0.8</v>
      </c>
      <c r="E92" s="94">
        <f>ROUND(+E32*$D92,0)</f>
        <v>0</v>
      </c>
      <c r="F92" s="94">
        <f>ROUND(+F32*$D92,0)</f>
        <v>10</v>
      </c>
      <c r="G92" s="94">
        <f>ROUND(+G32*$D92,0)*$C$84</f>
        <v>6</v>
      </c>
      <c r="H92" s="94">
        <f>ROUND(+H32*$D92,0)*$C$84</f>
        <v>12</v>
      </c>
      <c r="I92" s="94">
        <f>ROUND(+I32*$D92,0)*$C$84</f>
        <v>10</v>
      </c>
      <c r="J92" s="109"/>
      <c r="K92" s="1052"/>
      <c r="L92" s="1053"/>
    </row>
    <row r="93" spans="1:12" ht="12.75" customHeight="1">
      <c r="A93" s="22"/>
      <c r="B93" s="103"/>
      <c r="C93" s="106" t="s">
        <v>652</v>
      </c>
      <c r="D93" s="107">
        <v>0.8</v>
      </c>
      <c r="E93" s="94">
        <f>ROUND(+E33*$D93,0)</f>
        <v>0</v>
      </c>
      <c r="F93" s="94">
        <f>ROUND(+F36*$D93,0)</f>
        <v>10</v>
      </c>
      <c r="G93" s="94">
        <f>ROUND(+G36*$D93,0)*$C$84</f>
        <v>6</v>
      </c>
      <c r="H93" s="94">
        <f>ROUND(+H36*$D93,0)*$C$84</f>
        <v>10</v>
      </c>
      <c r="I93" s="94">
        <f>ROUND(+I36*$D93,0)*$C$84</f>
        <v>10</v>
      </c>
      <c r="J93" s="109"/>
      <c r="K93" s="1054"/>
      <c r="L93" s="1055"/>
    </row>
    <row r="94" spans="1:12" ht="18.75" customHeight="1">
      <c r="A94" s="22"/>
      <c r="B94" s="103"/>
      <c r="C94" s="106"/>
      <c r="D94" s="108"/>
      <c r="E94" s="109"/>
      <c r="F94" s="109"/>
      <c r="G94" s="109"/>
      <c r="H94" s="109"/>
      <c r="I94" s="109"/>
      <c r="J94" s="109"/>
      <c r="K94" s="7" t="s">
        <v>219</v>
      </c>
      <c r="L94" s="7" t="s">
        <v>220</v>
      </c>
    </row>
    <row r="95" spans="1:12" ht="12.75" customHeight="1">
      <c r="A95" s="22"/>
      <c r="B95" s="133" t="s">
        <v>142</v>
      </c>
      <c r="C95" s="106" t="s">
        <v>140</v>
      </c>
      <c r="D95" s="110"/>
      <c r="E95" s="111">
        <f aca="true" t="shared" si="0" ref="E95:I97">ROUND(($K95+E86*$L95)/60,1)</f>
        <v>0.9</v>
      </c>
      <c r="F95" s="111">
        <f t="shared" si="0"/>
        <v>2.5</v>
      </c>
      <c r="G95" s="111">
        <f t="shared" si="0"/>
        <v>1.4</v>
      </c>
      <c r="H95" s="111">
        <f t="shared" si="0"/>
        <v>2.7</v>
      </c>
      <c r="I95" s="111">
        <f t="shared" si="0"/>
        <v>2.3</v>
      </c>
      <c r="J95" s="109"/>
      <c r="K95" s="805">
        <f>+'Load and Unload Times'!J64</f>
        <v>21</v>
      </c>
      <c r="L95" s="805">
        <f>+'Load and Unload Times'!J70</f>
        <v>0.9</v>
      </c>
    </row>
    <row r="96" spans="1:12" ht="12.75" customHeight="1">
      <c r="A96" s="22"/>
      <c r="B96" s="133"/>
      <c r="C96" s="106" t="s">
        <v>568</v>
      </c>
      <c r="D96" s="110"/>
      <c r="E96" s="111">
        <f t="shared" si="0"/>
        <v>1</v>
      </c>
      <c r="F96" s="111">
        <f t="shared" si="0"/>
        <v>3</v>
      </c>
      <c r="G96" s="111">
        <f t="shared" si="0"/>
        <v>1.7</v>
      </c>
      <c r="H96" s="111">
        <f t="shared" si="0"/>
        <v>3.3</v>
      </c>
      <c r="I96" s="111">
        <f t="shared" si="0"/>
        <v>2.7</v>
      </c>
      <c r="J96" s="109"/>
      <c r="K96" s="805">
        <f>'Load and Unload Times'!J435</f>
        <v>21</v>
      </c>
      <c r="L96" s="805">
        <f>'Load and Unload Times'!J441</f>
        <v>1.3</v>
      </c>
    </row>
    <row r="97" spans="1:12" ht="12.75" customHeight="1">
      <c r="A97" s="22"/>
      <c r="B97" s="133"/>
      <c r="C97" s="777" t="s">
        <v>612</v>
      </c>
      <c r="D97" s="110"/>
      <c r="E97" s="112">
        <f t="shared" si="0"/>
        <v>0.6</v>
      </c>
      <c r="F97" s="112">
        <f t="shared" si="0"/>
        <v>0.8</v>
      </c>
      <c r="G97" s="112">
        <f t="shared" si="0"/>
        <v>0.8</v>
      </c>
      <c r="H97" s="112">
        <f t="shared" si="0"/>
        <v>0.9</v>
      </c>
      <c r="I97" s="112">
        <f t="shared" si="0"/>
        <v>0.8</v>
      </c>
      <c r="J97" s="109"/>
      <c r="K97" s="805">
        <f>+'Load and Unload Times'!$J$257</f>
        <v>27</v>
      </c>
      <c r="L97" s="805">
        <f>'Load and Unload Times'!$J$263</f>
        <v>3.6</v>
      </c>
    </row>
    <row r="98" spans="1:12" ht="12.75" customHeight="1">
      <c r="A98" s="22"/>
      <c r="B98" s="22"/>
      <c r="C98" s="106" t="s">
        <v>141</v>
      </c>
      <c r="D98" s="110"/>
      <c r="E98" s="111"/>
      <c r="F98" s="112">
        <f aca="true" t="shared" si="1" ref="F98:I100">ROUND(($K98+F91*$L98)/60,1)</f>
        <v>1.1</v>
      </c>
      <c r="G98" s="112">
        <f t="shared" si="1"/>
        <v>0.8</v>
      </c>
      <c r="H98" s="112">
        <f t="shared" si="1"/>
        <v>1.1</v>
      </c>
      <c r="I98" s="112">
        <f t="shared" si="1"/>
        <v>1.1</v>
      </c>
      <c r="J98" s="109"/>
      <c r="K98" s="805">
        <f>+'Load and Unload Times'!J162</f>
        <v>25</v>
      </c>
      <c r="L98" s="805">
        <f>'Load and Unload Times'!J168*(1+($C$84-1)*L101)</f>
        <v>1.5</v>
      </c>
    </row>
    <row r="99" spans="1:12" ht="12.75" customHeight="1">
      <c r="A99" s="22"/>
      <c r="B99" s="22"/>
      <c r="C99" s="106" t="s">
        <v>643</v>
      </c>
      <c r="D99" s="110"/>
      <c r="E99" s="111"/>
      <c r="F99" s="112">
        <f t="shared" si="1"/>
        <v>1.1</v>
      </c>
      <c r="G99" s="112">
        <f t="shared" si="1"/>
        <v>0.8</v>
      </c>
      <c r="H99" s="112">
        <f t="shared" si="1"/>
        <v>1.2</v>
      </c>
      <c r="I99" s="112">
        <f t="shared" si="1"/>
        <v>1.1</v>
      </c>
      <c r="J99" s="109"/>
      <c r="K99" s="805">
        <f>+'Load and Unload Times'!$J$257</f>
        <v>27</v>
      </c>
      <c r="L99" s="805">
        <f>'Load and Unload Times'!$J$263*(1+($C$84-1)*L101)</f>
        <v>3.6</v>
      </c>
    </row>
    <row r="100" spans="1:12" ht="12.75" customHeight="1">
      <c r="A100" s="22"/>
      <c r="B100" s="22"/>
      <c r="C100" s="106" t="s">
        <v>652</v>
      </c>
      <c r="D100" s="110"/>
      <c r="E100" s="111"/>
      <c r="F100" s="112">
        <f t="shared" si="1"/>
        <v>1.1</v>
      </c>
      <c r="G100" s="112">
        <f t="shared" si="1"/>
        <v>0.8</v>
      </c>
      <c r="H100" s="112">
        <f t="shared" si="1"/>
        <v>1.1</v>
      </c>
      <c r="I100" s="112">
        <f t="shared" si="1"/>
        <v>1.1</v>
      </c>
      <c r="J100" s="109"/>
      <c r="K100" s="805">
        <f>+'Load and Unload Times'!$J$257</f>
        <v>27</v>
      </c>
      <c r="L100" s="805">
        <f>'Load and Unload Times'!$J$263*(1+($C$84-1)*L102)</f>
        <v>3.6</v>
      </c>
    </row>
    <row r="101" spans="1:12" ht="23.25" customHeight="1">
      <c r="A101" s="22"/>
      <c r="B101" s="22"/>
      <c r="C101" s="106"/>
      <c r="D101" s="108"/>
      <c r="E101" s="109"/>
      <c r="J101" s="109"/>
      <c r="K101" s="296" t="s">
        <v>235</v>
      </c>
      <c r="L101" s="803">
        <f>+L102/100</f>
        <v>0.25</v>
      </c>
    </row>
    <row r="102" spans="1:12" ht="24.75" customHeight="1" thickBot="1">
      <c r="A102" s="231">
        <v>5</v>
      </c>
      <c r="B102" s="231" t="s">
        <v>207</v>
      </c>
      <c r="C102" s="22"/>
      <c r="D102" s="22"/>
      <c r="E102" s="22"/>
      <c r="L102" s="327">
        <v>25</v>
      </c>
    </row>
    <row r="103" spans="1:6" ht="30" customHeight="1" thickBot="1">
      <c r="A103" s="22"/>
      <c r="B103" s="22"/>
      <c r="C103" s="230" t="s">
        <v>208</v>
      </c>
      <c r="D103" s="328">
        <v>1</v>
      </c>
      <c r="F103" s="232"/>
    </row>
    <row r="104" spans="1:5" ht="24.75" customHeight="1">
      <c r="A104" s="22"/>
      <c r="B104" s="22"/>
      <c r="C104" s="134" t="s">
        <v>143</v>
      </c>
      <c r="D104" s="231">
        <v>80</v>
      </c>
      <c r="E104" s="113" t="s">
        <v>144</v>
      </c>
    </row>
    <row r="105" spans="1:10" ht="18" customHeight="1">
      <c r="A105" s="22"/>
      <c r="B105" s="22"/>
      <c r="C105" s="133" t="s">
        <v>145</v>
      </c>
      <c r="D105" s="115" t="s">
        <v>146</v>
      </c>
      <c r="E105" s="116">
        <v>40</v>
      </c>
      <c r="F105" s="117">
        <v>40</v>
      </c>
      <c r="G105" s="117">
        <v>40</v>
      </c>
      <c r="H105" s="117">
        <v>35</v>
      </c>
      <c r="I105" s="117">
        <v>35</v>
      </c>
      <c r="J105" s="289"/>
    </row>
    <row r="106" spans="1:10" ht="12.75">
      <c r="A106" s="22"/>
      <c r="B106" s="105"/>
      <c r="C106" s="133" t="s">
        <v>147</v>
      </c>
      <c r="D106" s="118" t="s">
        <v>140</v>
      </c>
      <c r="E106" s="119">
        <f>$D$103*8/($D104/E105+E$95)</f>
        <v>2.7586206896551726</v>
      </c>
      <c r="F106" s="119">
        <f>$D$103*8/($D104/F105+F$95)</f>
        <v>1.7777777777777777</v>
      </c>
      <c r="G106" s="119">
        <f>$D$103*8/($D104/G105+G$95)</f>
        <v>2.3529411764705883</v>
      </c>
      <c r="H106" s="119">
        <f>$D$103*8/($D104/H105+H$95)</f>
        <v>1.6045845272206303</v>
      </c>
      <c r="I106" s="119">
        <f>$D$103*8/($D104/I105+I$95)</f>
        <v>1.7445482866043616</v>
      </c>
      <c r="J106" s="290"/>
    </row>
    <row r="107" spans="1:10" ht="12.75">
      <c r="A107" s="22"/>
      <c r="B107" s="105"/>
      <c r="C107" s="133"/>
      <c r="D107" s="118" t="s">
        <v>568</v>
      </c>
      <c r="E107" s="119">
        <f>$D$103*8/($D104/E105+E$96)</f>
        <v>2.6666666666666665</v>
      </c>
      <c r="F107" s="119">
        <f>$D$103*8/($D104/F105+F$96)</f>
        <v>1.6</v>
      </c>
      <c r="G107" s="119">
        <f>$D$103*8/($D104/G105+G$96)</f>
        <v>2.162162162162162</v>
      </c>
      <c r="H107" s="119">
        <f>$D$103*8/($D104/H105+H$96)</f>
        <v>1.432225063938619</v>
      </c>
      <c r="I107" s="119">
        <f>$D$103*8/($D104/I105+I$96)</f>
        <v>1.6045845272206303</v>
      </c>
      <c r="J107" s="290"/>
    </row>
    <row r="108" spans="1:10" ht="12.75">
      <c r="A108" s="22"/>
      <c r="B108" s="105"/>
      <c r="C108" s="133"/>
      <c r="D108" s="778" t="s">
        <v>615</v>
      </c>
      <c r="E108" s="119">
        <f>$D$103*8/($D104/E105+E$97)</f>
        <v>3.0769230769230766</v>
      </c>
      <c r="F108" s="119">
        <f>$D$103*8/($D104/F105+F$97)</f>
        <v>2.857142857142857</v>
      </c>
      <c r="G108" s="119">
        <f>$D$103*8/($D104/G105+G$97)</f>
        <v>2.857142857142857</v>
      </c>
      <c r="H108" s="119">
        <f>$D$103*8/($D104/H105+H$97)</f>
        <v>2.5112107623318387</v>
      </c>
      <c r="I108" s="119">
        <f>$D$103*8/($D104/I105+I$97)</f>
        <v>2.592592592592593</v>
      </c>
      <c r="J108" s="290"/>
    </row>
    <row r="109" spans="1:10" ht="12.75">
      <c r="A109" s="22"/>
      <c r="B109" s="105"/>
      <c r="C109" s="133"/>
      <c r="D109" s="118" t="s">
        <v>141</v>
      </c>
      <c r="E109" s="119"/>
      <c r="F109" s="120">
        <f>$D$103*8/($D104/F105+F$98)</f>
        <v>2.5806451612903225</v>
      </c>
      <c r="G109" s="120">
        <f>$D$103*8/($D104/G105+G$98)</f>
        <v>2.857142857142857</v>
      </c>
      <c r="H109" s="120">
        <f>$D$103*8/($D104/H105+H$98)</f>
        <v>2.3628691983122363</v>
      </c>
      <c r="I109" s="120">
        <f>$D$103*8/($D104/I105+I$98)</f>
        <v>2.3628691983122363</v>
      </c>
      <c r="J109" s="290"/>
    </row>
    <row r="110" spans="1:10" ht="12.75">
      <c r="A110" s="22"/>
      <c r="B110" s="105"/>
      <c r="C110" s="133"/>
      <c r="D110" s="118" t="s">
        <v>643</v>
      </c>
      <c r="E110" s="119"/>
      <c r="F110" s="120">
        <f>$D$103*8/($D$104/F$105+F$99)</f>
        <v>2.5806451612903225</v>
      </c>
      <c r="G110" s="120">
        <f>$D$103*8/($D$104/G$105+G$99)</f>
        <v>2.857142857142857</v>
      </c>
      <c r="H110" s="120">
        <f>$D$103*8/($D$104/H$105+H$99)</f>
        <v>2.2950819672131146</v>
      </c>
      <c r="I110" s="120">
        <f>$D$103*8/($D$104/I$105+I$99)</f>
        <v>2.3628691983122363</v>
      </c>
      <c r="J110" s="290"/>
    </row>
    <row r="111" spans="1:10" ht="12.75">
      <c r="A111" s="22"/>
      <c r="B111" s="105"/>
      <c r="C111" s="133"/>
      <c r="D111" s="118" t="s">
        <v>652</v>
      </c>
      <c r="E111" s="119"/>
      <c r="F111" s="120">
        <f>$D$103*8/($D$104/F$105+F$100)</f>
        <v>2.5806451612903225</v>
      </c>
      <c r="G111" s="120">
        <f>$D$103*8/($D$104/G$105+G$100)</f>
        <v>2.857142857142857</v>
      </c>
      <c r="H111" s="120">
        <f>$D$103*8/($D$104/H$105+H$100)</f>
        <v>2.3628691983122363</v>
      </c>
      <c r="I111" s="120">
        <f>$D$103*8/($D$104/I$105+I$100)</f>
        <v>2.3628691983122363</v>
      </c>
      <c r="J111" s="290"/>
    </row>
    <row r="112" spans="1:10" ht="12.75">
      <c r="A112" s="22"/>
      <c r="B112" s="105"/>
      <c r="C112" s="133" t="s">
        <v>148</v>
      </c>
      <c r="D112" s="118" t="s">
        <v>140</v>
      </c>
      <c r="E112" s="121">
        <f>+E106*$D104*250</f>
        <v>55172.41379310345</v>
      </c>
      <c r="F112" s="36">
        <f>+F106*$D104*250</f>
        <v>35555.555555555555</v>
      </c>
      <c r="G112" s="36">
        <f>+G106*$D104*250</f>
        <v>47058.82352941177</v>
      </c>
      <c r="H112" s="36">
        <f>+H106*$D104*250</f>
        <v>32091.690544412606</v>
      </c>
      <c r="I112" s="36">
        <f>+I106*$D104*250</f>
        <v>34890.96573208723</v>
      </c>
      <c r="J112" s="129"/>
    </row>
    <row r="113" spans="1:10" ht="12.75">
      <c r="A113" s="22"/>
      <c r="B113" s="105"/>
      <c r="C113" s="133"/>
      <c r="D113" s="118" t="s">
        <v>568</v>
      </c>
      <c r="E113" s="121">
        <f>+E107*$D104*250</f>
        <v>53333.33333333333</v>
      </c>
      <c r="F113" s="121">
        <f>+F107*$D104*250</f>
        <v>32000</v>
      </c>
      <c r="G113" s="121">
        <f>+G107*$D104*250</f>
        <v>43243.24324324323</v>
      </c>
      <c r="H113" s="121">
        <f>+H107*$D104*250</f>
        <v>28644.50127877238</v>
      </c>
      <c r="I113" s="121">
        <f>+I107*$D104*250</f>
        <v>32091.690544412606</v>
      </c>
      <c r="J113" s="129"/>
    </row>
    <row r="114" spans="1:10" ht="12.75">
      <c r="A114" s="22"/>
      <c r="B114" s="105"/>
      <c r="C114" s="133"/>
      <c r="D114" s="778" t="s">
        <v>615</v>
      </c>
      <c r="E114" s="121">
        <f>+E108*$D104*250</f>
        <v>61538.46153846153</v>
      </c>
      <c r="F114" s="121">
        <f>+F108*$D104*250</f>
        <v>57142.857142857145</v>
      </c>
      <c r="G114" s="121">
        <f>+G108*$D104*250</f>
        <v>57142.857142857145</v>
      </c>
      <c r="H114" s="121">
        <f>+H108*$D104*250</f>
        <v>50224.21524663678</v>
      </c>
      <c r="I114" s="121">
        <f>+I108*$D104*250</f>
        <v>51851.85185185186</v>
      </c>
      <c r="J114" s="129"/>
    </row>
    <row r="115" spans="1:10" ht="12.75">
      <c r="A115" s="22"/>
      <c r="B115" s="105"/>
      <c r="C115" s="133"/>
      <c r="D115" s="118" t="s">
        <v>141</v>
      </c>
      <c r="E115" s="122"/>
      <c r="F115" s="36">
        <f>+F109*$D104*250</f>
        <v>51612.90322580645</v>
      </c>
      <c r="G115" s="36">
        <f>+G109*$D104*250</f>
        <v>57142.857142857145</v>
      </c>
      <c r="H115" s="36">
        <f>+H109*$D104*250</f>
        <v>47257.38396624472</v>
      </c>
      <c r="I115" s="36">
        <f>+I109*$D104*250</f>
        <v>47257.38396624472</v>
      </c>
      <c r="J115" s="129"/>
    </row>
    <row r="116" spans="1:10" ht="12.75">
      <c r="A116" s="22"/>
      <c r="B116" s="105"/>
      <c r="C116" s="133"/>
      <c r="D116" s="118" t="s">
        <v>643</v>
      </c>
      <c r="E116" s="122"/>
      <c r="F116" s="36">
        <f aca="true" t="shared" si="2" ref="F116:I117">+F110*$D$104*250</f>
        <v>51612.90322580645</v>
      </c>
      <c r="G116" s="36">
        <f t="shared" si="2"/>
        <v>57142.857142857145</v>
      </c>
      <c r="H116" s="36">
        <f t="shared" si="2"/>
        <v>45901.639344262294</v>
      </c>
      <c r="I116" s="36">
        <f t="shared" si="2"/>
        <v>47257.38396624472</v>
      </c>
      <c r="J116" s="129"/>
    </row>
    <row r="117" spans="1:10" ht="12.75">
      <c r="A117" s="22"/>
      <c r="B117" s="105"/>
      <c r="C117" s="133"/>
      <c r="D117" s="118" t="s">
        <v>652</v>
      </c>
      <c r="E117" s="292"/>
      <c r="F117" s="36">
        <f t="shared" si="2"/>
        <v>51612.90322580645</v>
      </c>
      <c r="G117" s="36">
        <f t="shared" si="2"/>
        <v>57142.857142857145</v>
      </c>
      <c r="H117" s="36">
        <f t="shared" si="2"/>
        <v>47257.38396624472</v>
      </c>
      <c r="I117" s="36">
        <f t="shared" si="2"/>
        <v>47257.38396624472</v>
      </c>
      <c r="J117" s="129"/>
    </row>
    <row r="118" spans="1:12" ht="12.75">
      <c r="A118" s="22"/>
      <c r="B118" s="105"/>
      <c r="C118" s="133" t="s">
        <v>149</v>
      </c>
      <c r="D118" s="118" t="s">
        <v>140</v>
      </c>
      <c r="E118" s="124">
        <f aca="true" t="shared" si="3" ref="E118:I120">+E112*E$59</f>
        <v>49365.517241379304</v>
      </c>
      <c r="F118" s="125">
        <f t="shared" si="3"/>
        <v>46008.88888888889</v>
      </c>
      <c r="G118" s="125">
        <f t="shared" si="3"/>
        <v>60894.11764705883</v>
      </c>
      <c r="H118" s="125">
        <f t="shared" si="3"/>
        <v>53208.0229226361</v>
      </c>
      <c r="I118" s="125">
        <f t="shared" si="3"/>
        <v>54848.59813084113</v>
      </c>
      <c r="J118" s="285"/>
      <c r="K118" s="1040" t="s">
        <v>240</v>
      </c>
      <c r="L118" s="1040" t="s">
        <v>614</v>
      </c>
    </row>
    <row r="119" spans="1:12" ht="12.75">
      <c r="A119" s="22"/>
      <c r="B119" s="105"/>
      <c r="C119" s="133"/>
      <c r="D119" s="118" t="s">
        <v>568</v>
      </c>
      <c r="E119" s="124">
        <f t="shared" si="3"/>
        <v>47719.99999999999</v>
      </c>
      <c r="F119" s="125">
        <f t="shared" si="3"/>
        <v>41408</v>
      </c>
      <c r="G119" s="125">
        <f t="shared" si="3"/>
        <v>55956.756756756746</v>
      </c>
      <c r="H119" s="125">
        <f t="shared" si="3"/>
        <v>47492.5831202046</v>
      </c>
      <c r="I119" s="125">
        <f t="shared" si="3"/>
        <v>50448.13753581662</v>
      </c>
      <c r="J119" s="285"/>
      <c r="K119" s="1041"/>
      <c r="L119" s="1041"/>
    </row>
    <row r="120" spans="1:12" ht="12.75">
      <c r="A120" s="22"/>
      <c r="B120" s="105"/>
      <c r="C120" s="133"/>
      <c r="D120" s="778" t="s">
        <v>615</v>
      </c>
      <c r="E120" s="124">
        <f t="shared" si="3"/>
        <v>55061.538461538454</v>
      </c>
      <c r="F120" s="124">
        <f t="shared" si="3"/>
        <v>73942.85714285714</v>
      </c>
      <c r="G120" s="124">
        <f t="shared" si="3"/>
        <v>73942.85714285714</v>
      </c>
      <c r="H120" s="124">
        <f t="shared" si="3"/>
        <v>83271.74887892377</v>
      </c>
      <c r="I120" s="124">
        <f t="shared" si="3"/>
        <v>81511.11111111112</v>
      </c>
      <c r="J120" s="285"/>
      <c r="K120" s="1041"/>
      <c r="L120" s="1041"/>
    </row>
    <row r="121" spans="1:12" ht="12.75" customHeight="1">
      <c r="A121" s="22"/>
      <c r="B121" s="105"/>
      <c r="C121" s="133"/>
      <c r="D121" s="118" t="s">
        <v>141</v>
      </c>
      <c r="E121" s="124"/>
      <c r="F121" s="125">
        <f aca="true" t="shared" si="4" ref="F121:I123">+F115*F$59</f>
        <v>66787.09677419355</v>
      </c>
      <c r="G121" s="125">
        <f t="shared" si="4"/>
        <v>73942.85714285714</v>
      </c>
      <c r="H121" s="125">
        <f t="shared" si="4"/>
        <v>78352.74261603375</v>
      </c>
      <c r="I121" s="125">
        <f t="shared" si="4"/>
        <v>74288.60759493671</v>
      </c>
      <c r="J121" s="285"/>
      <c r="K121" s="1041"/>
      <c r="L121" s="1041"/>
    </row>
    <row r="122" spans="1:12" ht="12.75">
      <c r="A122" s="22"/>
      <c r="B122" s="105"/>
      <c r="C122" s="133"/>
      <c r="D122" s="118" t="s">
        <v>643</v>
      </c>
      <c r="E122" s="124"/>
      <c r="F122" s="125">
        <f t="shared" si="4"/>
        <v>66787.09677419355</v>
      </c>
      <c r="G122" s="125">
        <f t="shared" si="4"/>
        <v>73942.85714285714</v>
      </c>
      <c r="H122" s="125">
        <f t="shared" si="4"/>
        <v>76104.91803278688</v>
      </c>
      <c r="I122" s="125">
        <f t="shared" si="4"/>
        <v>74288.60759493671</v>
      </c>
      <c r="J122" s="285"/>
      <c r="K122" s="1041"/>
      <c r="L122" s="1041"/>
    </row>
    <row r="123" spans="1:12" ht="12.75">
      <c r="A123" s="22"/>
      <c r="B123" s="105"/>
      <c r="C123" s="133"/>
      <c r="D123" s="118" t="s">
        <v>652</v>
      </c>
      <c r="E123" s="124"/>
      <c r="F123" s="125">
        <f t="shared" si="4"/>
        <v>66787.09677419355</v>
      </c>
      <c r="G123" s="125">
        <f t="shared" si="4"/>
        <v>73942.85714285714</v>
      </c>
      <c r="H123" s="125">
        <f t="shared" si="4"/>
        <v>78352.74261603375</v>
      </c>
      <c r="I123" s="125">
        <f t="shared" si="4"/>
        <v>74288.60759493671</v>
      </c>
      <c r="J123" s="285"/>
      <c r="K123" s="1042"/>
      <c r="L123" s="1042"/>
    </row>
    <row r="124" spans="1:12" ht="12.75">
      <c r="A124" s="22"/>
      <c r="B124" s="105"/>
      <c r="C124" s="133" t="s">
        <v>150</v>
      </c>
      <c r="D124" s="118" t="s">
        <v>140</v>
      </c>
      <c r="E124" s="124">
        <f aca="true" t="shared" si="5" ref="E124:I126">+E118+$D$103*E$81+E$53</f>
        <v>218971.5172413793</v>
      </c>
      <c r="F124" s="124">
        <f t="shared" si="5"/>
        <v>255684.88888888888</v>
      </c>
      <c r="G124" s="124">
        <f t="shared" si="5"/>
        <v>269400.1176470588</v>
      </c>
      <c r="H124" s="124">
        <f t="shared" si="5"/>
        <v>295164.0229226361</v>
      </c>
      <c r="I124" s="124">
        <f t="shared" si="5"/>
        <v>317504.59813084116</v>
      </c>
      <c r="J124" s="285"/>
      <c r="K124" s="303">
        <f aca="true" t="array" ref="K124">SUM(IF((E143:I143=$K143),E124:I124,0))</f>
        <v>255684.88888888888</v>
      </c>
      <c r="L124" s="303">
        <f aca="true" t="shared" si="6" ref="L124:L129">K124*(1+$C$147)</f>
        <v>319606.1111111111</v>
      </c>
    </row>
    <row r="125" spans="1:12" ht="12.75">
      <c r="A125" s="22"/>
      <c r="B125" s="105"/>
      <c r="C125" s="133"/>
      <c r="D125" s="118" t="s">
        <v>568</v>
      </c>
      <c r="E125" s="124">
        <f t="shared" si="5"/>
        <v>217326</v>
      </c>
      <c r="F125" s="124">
        <f t="shared" si="5"/>
        <v>251084</v>
      </c>
      <c r="G125" s="124">
        <f t="shared" si="5"/>
        <v>264462.75675675675</v>
      </c>
      <c r="H125" s="124">
        <f t="shared" si="5"/>
        <v>289448.5831202046</v>
      </c>
      <c r="I125" s="124">
        <f t="shared" si="5"/>
        <v>313104.13753581664</v>
      </c>
      <c r="J125" s="285"/>
      <c r="K125" s="303">
        <f aca="true" t="array" ref="K125">SUM(IF((E144:I144=$K144),E125:I125,0))</f>
        <v>251084</v>
      </c>
      <c r="L125" s="303">
        <f t="shared" si="6"/>
        <v>313855</v>
      </c>
    </row>
    <row r="126" spans="1:12" ht="12.75">
      <c r="A126" s="22"/>
      <c r="B126" s="105"/>
      <c r="C126" s="133"/>
      <c r="D126" s="778" t="s">
        <v>615</v>
      </c>
      <c r="E126" s="124">
        <f t="shared" si="5"/>
        <v>224667.53846153844</v>
      </c>
      <c r="F126" s="124">
        <f t="shared" si="5"/>
        <v>283618.85714285716</v>
      </c>
      <c r="G126" s="124">
        <f t="shared" si="5"/>
        <v>282448.85714285716</v>
      </c>
      <c r="H126" s="124">
        <f t="shared" si="5"/>
        <v>325227.74887892377</v>
      </c>
      <c r="I126" s="124">
        <f t="shared" si="5"/>
        <v>344167.1111111111</v>
      </c>
      <c r="J126" s="285"/>
      <c r="K126" s="303">
        <f aca="true" t="array" ref="K126">SUM(IF((E145:I145=$K145),E126:I126,0))</f>
        <v>325227.74887892377</v>
      </c>
      <c r="L126" s="303">
        <f t="shared" si="6"/>
        <v>406534.6860986547</v>
      </c>
    </row>
    <row r="127" spans="1:12" ht="12.75">
      <c r="A127" s="22"/>
      <c r="B127" s="105"/>
      <c r="C127" s="133"/>
      <c r="D127" s="118" t="s">
        <v>141</v>
      </c>
      <c r="E127" s="122"/>
      <c r="F127" s="124">
        <f aca="true" t="shared" si="7" ref="F127:I129">+F121+$D$103*F$81+F$53+F$54</f>
        <v>276463.0967741936</v>
      </c>
      <c r="G127" s="124">
        <f t="shared" si="7"/>
        <v>282448.85714285716</v>
      </c>
      <c r="H127" s="124">
        <f t="shared" si="7"/>
        <v>320308.74261603376</v>
      </c>
      <c r="I127" s="124">
        <f t="shared" si="7"/>
        <v>336944.60759493674</v>
      </c>
      <c r="J127" s="285"/>
      <c r="K127" s="303">
        <f aca="true" t="array" ref="K127">SUM(IF((E147:I147=$K147),E127:I127,0))</f>
        <v>276463.0967741936</v>
      </c>
      <c r="L127" s="303">
        <f t="shared" si="6"/>
        <v>345578.87096774194</v>
      </c>
    </row>
    <row r="128" spans="1:12" ht="12.75">
      <c r="A128" s="22"/>
      <c r="B128" s="105"/>
      <c r="C128" s="105"/>
      <c r="D128" s="118" t="s">
        <v>643</v>
      </c>
      <c r="E128" s="122"/>
      <c r="F128" s="124">
        <f t="shared" si="7"/>
        <v>276463.0967741936</v>
      </c>
      <c r="G128" s="124">
        <f t="shared" si="7"/>
        <v>282448.85714285716</v>
      </c>
      <c r="H128" s="124">
        <f t="shared" si="7"/>
        <v>318060.91803278687</v>
      </c>
      <c r="I128" s="124">
        <f t="shared" si="7"/>
        <v>336944.60759493674</v>
      </c>
      <c r="J128" s="285"/>
      <c r="K128" s="303">
        <f aca="true" t="array" ref="K128">SUM(IF((E148:I148=$K148),E128:I128,0))</f>
        <v>276463.0967741936</v>
      </c>
      <c r="L128" s="303">
        <f t="shared" si="6"/>
        <v>345578.87096774194</v>
      </c>
    </row>
    <row r="129" spans="1:12" ht="12.75">
      <c r="A129" s="22"/>
      <c r="B129" s="105"/>
      <c r="C129" s="105"/>
      <c r="D129" s="118" t="s">
        <v>652</v>
      </c>
      <c r="E129" s="292"/>
      <c r="F129" s="124">
        <f t="shared" si="7"/>
        <v>276463.0967741936</v>
      </c>
      <c r="G129" s="124">
        <f t="shared" si="7"/>
        <v>282448.85714285716</v>
      </c>
      <c r="H129" s="124">
        <f t="shared" si="7"/>
        <v>320308.74261603376</v>
      </c>
      <c r="I129" s="124">
        <f t="shared" si="7"/>
        <v>336944.60759493674</v>
      </c>
      <c r="J129" s="285"/>
      <c r="K129" s="303">
        <f aca="true" t="array" ref="K129">SUM(IF((E149:I149=$K149),E129:I129,0))</f>
        <v>276463.0967741936</v>
      </c>
      <c r="L129" s="303">
        <f t="shared" si="6"/>
        <v>345578.87096774194</v>
      </c>
    </row>
    <row r="130" spans="1:10" ht="14.25" customHeight="1">
      <c r="A130" s="22"/>
      <c r="B130" s="1038" t="s">
        <v>151</v>
      </c>
      <c r="C130" s="1039"/>
      <c r="D130" s="118" t="s">
        <v>140</v>
      </c>
      <c r="E130" s="126">
        <f>+E106*250*E$86</f>
        <v>26206.896551724138</v>
      </c>
      <c r="F130" s="126">
        <f>+F106*250*F$86</f>
        <v>63999.99999999999</v>
      </c>
      <c r="G130" s="126">
        <f>+G106*250*G$86</f>
        <v>42352.94117647059</v>
      </c>
      <c r="H130" s="126">
        <f>+H106*250*H$86</f>
        <v>62578.79656160458</v>
      </c>
      <c r="I130" s="126">
        <f>+I106*250*I$86</f>
        <v>57570.09345794393</v>
      </c>
      <c r="J130" s="291"/>
    </row>
    <row r="131" spans="1:10" ht="14.25" customHeight="1">
      <c r="A131" s="22"/>
      <c r="B131" s="737"/>
      <c r="C131" s="738"/>
      <c r="D131" s="118" t="s">
        <v>568</v>
      </c>
      <c r="E131" s="126">
        <f>+E107*250*E$87</f>
        <v>21333.333333333332</v>
      </c>
      <c r="F131" s="126">
        <f>+F107*250*F$87</f>
        <v>48000</v>
      </c>
      <c r="G131" s="126">
        <f>+G107*250*G$87</f>
        <v>34594.594594594586</v>
      </c>
      <c r="H131" s="126">
        <f>+H107*250*H$87</f>
        <v>47979.53964194373</v>
      </c>
      <c r="I131" s="126">
        <f>+I107*250*I$87</f>
        <v>43323.78223495701</v>
      </c>
      <c r="J131" s="291"/>
    </row>
    <row r="132" spans="1:10" ht="14.25" customHeight="1">
      <c r="A132" s="22"/>
      <c r="B132" s="737"/>
      <c r="C132" s="738"/>
      <c r="D132" s="778" t="s">
        <v>615</v>
      </c>
      <c r="E132" s="126">
        <f>+E108*250*E$88</f>
        <v>2307.6923076923076</v>
      </c>
      <c r="F132" s="126">
        <f>+F108*250*F$88</f>
        <v>4285.714285714286</v>
      </c>
      <c r="G132" s="126">
        <f>+G108*250*G$88</f>
        <v>3571.4285714285716</v>
      </c>
      <c r="H132" s="126">
        <f>+H108*250*H$88</f>
        <v>5022.421524663678</v>
      </c>
      <c r="I132" s="126">
        <f>+I108*250*I$88</f>
        <v>3888.8888888888896</v>
      </c>
      <c r="J132" s="291"/>
    </row>
    <row r="133" spans="1:10" ht="12.75">
      <c r="A133" s="22"/>
      <c r="B133" s="22"/>
      <c r="C133" s="22"/>
      <c r="D133" s="118" t="s">
        <v>141</v>
      </c>
      <c r="E133" s="126">
        <f>+E109*250*E$91</f>
        <v>0</v>
      </c>
      <c r="F133" s="126">
        <f>+F109*250*F$91</f>
        <v>16774.193548387095</v>
      </c>
      <c r="G133" s="126">
        <f>+G109*250*G$91</f>
        <v>12142.857142857143</v>
      </c>
      <c r="H133" s="126">
        <f>+H109*250*H$91</f>
        <v>17130.801687763713</v>
      </c>
      <c r="I133" s="126">
        <f>+I109*250*I$91</f>
        <v>15358.649789029536</v>
      </c>
      <c r="J133" s="291"/>
    </row>
    <row r="134" spans="1:10" ht="12.75">
      <c r="A134" s="22"/>
      <c r="B134" s="22"/>
      <c r="C134" s="22"/>
      <c r="D134" s="118" t="s">
        <v>643</v>
      </c>
      <c r="E134" s="126">
        <f>+E110*250*E$92</f>
        <v>0</v>
      </c>
      <c r="F134" s="126">
        <f>+F110*250*F$92</f>
        <v>6451.612903225806</v>
      </c>
      <c r="G134" s="126">
        <f>+G110*250*G$92</f>
        <v>4285.714285714286</v>
      </c>
      <c r="H134" s="126">
        <f>+H110*250*H$92</f>
        <v>6885.245901639344</v>
      </c>
      <c r="I134" s="126">
        <f>+I110*250*I$92</f>
        <v>5907.172995780591</v>
      </c>
      <c r="J134" s="291"/>
    </row>
    <row r="135" spans="1:10" ht="12.75">
      <c r="A135" s="22"/>
      <c r="B135" s="22"/>
      <c r="C135" s="22"/>
      <c r="D135" s="118" t="s">
        <v>652</v>
      </c>
      <c r="E135" s="126">
        <f>+E111*250*E$92</f>
        <v>0</v>
      </c>
      <c r="F135" s="126">
        <f>+F111*250*F$93</f>
        <v>6451.612903225806</v>
      </c>
      <c r="G135" s="126">
        <f>+G111*250*G$93</f>
        <v>4285.714285714286</v>
      </c>
      <c r="H135" s="126">
        <f>+H111*250*H$93</f>
        <v>5907.172995780591</v>
      </c>
      <c r="I135" s="126">
        <f>+I111*250*I$93</f>
        <v>5907.172995780591</v>
      </c>
      <c r="J135" s="291"/>
    </row>
    <row r="136" spans="1:10" ht="12.75">
      <c r="A136" s="22"/>
      <c r="B136" s="22"/>
      <c r="C136" s="132" t="s">
        <v>152</v>
      </c>
      <c r="D136" s="118" t="s">
        <v>140</v>
      </c>
      <c r="E136" s="123">
        <f aca="true" t="shared" si="8" ref="E136:I137">ROUND(+E124/E130,2)</f>
        <v>8.36</v>
      </c>
      <c r="F136" s="127">
        <f t="shared" si="8"/>
        <v>4</v>
      </c>
      <c r="G136" s="123">
        <f t="shared" si="8"/>
        <v>6.36</v>
      </c>
      <c r="H136" s="123">
        <f t="shared" si="8"/>
        <v>4.72</v>
      </c>
      <c r="I136" s="123">
        <f t="shared" si="8"/>
        <v>5.52</v>
      </c>
      <c r="J136" s="292"/>
    </row>
    <row r="137" spans="1:10" ht="12.75">
      <c r="A137" s="22"/>
      <c r="B137" s="22"/>
      <c r="C137" s="132"/>
      <c r="D137" s="784" t="s">
        <v>568</v>
      </c>
      <c r="E137" s="123">
        <f t="shared" si="8"/>
        <v>10.19</v>
      </c>
      <c r="F137" s="127">
        <f t="shared" si="8"/>
        <v>5.23</v>
      </c>
      <c r="G137" s="123">
        <f t="shared" si="8"/>
        <v>7.64</v>
      </c>
      <c r="H137" s="123">
        <f t="shared" si="8"/>
        <v>6.03</v>
      </c>
      <c r="I137" s="123">
        <f t="shared" si="8"/>
        <v>7.23</v>
      </c>
      <c r="J137" s="292"/>
    </row>
    <row r="138" spans="1:10" ht="12.75">
      <c r="A138" s="22"/>
      <c r="B138" s="22"/>
      <c r="C138" s="5"/>
      <c r="D138" s="783" t="s">
        <v>610</v>
      </c>
      <c r="E138" s="123">
        <f>ROUND(+E126/E132/12,2)</f>
        <v>8.11</v>
      </c>
      <c r="F138" s="123">
        <f>ROUND(+F126/F132/12,2)</f>
        <v>5.51</v>
      </c>
      <c r="G138" s="123">
        <f>ROUND(+G126/G132/12,2)</f>
        <v>6.59</v>
      </c>
      <c r="H138" s="123">
        <f>ROUND(+H126/H132/12,2)</f>
        <v>5.4</v>
      </c>
      <c r="I138" s="123">
        <f>ROUND(+I126/I132/12,2)</f>
        <v>7.38</v>
      </c>
      <c r="J138" s="292"/>
    </row>
    <row r="139" spans="1:10" ht="12.75">
      <c r="A139" s="22"/>
      <c r="B139" s="22"/>
      <c r="C139" s="5"/>
      <c r="D139" s="783" t="s">
        <v>611</v>
      </c>
      <c r="E139" s="123">
        <f>ROUND(+E126/E132/8,2)</f>
        <v>12.17</v>
      </c>
      <c r="F139" s="123">
        <f>ROUND(+F126/F132/8,2)</f>
        <v>8.27</v>
      </c>
      <c r="G139" s="123">
        <f>ROUND(+G126/G132/8,2)</f>
        <v>9.89</v>
      </c>
      <c r="H139" s="123">
        <f>ROUND(+H126/H132/8,2)</f>
        <v>8.09</v>
      </c>
      <c r="I139" s="123">
        <f>ROUND(+I126/I132/8,2)</f>
        <v>11.06</v>
      </c>
      <c r="J139" s="292"/>
    </row>
    <row r="140" spans="1:10" ht="12.75">
      <c r="A140" s="22"/>
      <c r="B140" s="22"/>
      <c r="C140" s="22"/>
      <c r="D140" s="781" t="s">
        <v>141</v>
      </c>
      <c r="E140" s="197"/>
      <c r="F140" s="127">
        <f aca="true" t="shared" si="9" ref="F140:I142">ROUND(+F127/F133,2)</f>
        <v>16.48</v>
      </c>
      <c r="G140" s="127">
        <f t="shared" si="9"/>
        <v>23.26</v>
      </c>
      <c r="H140" s="127">
        <f t="shared" si="9"/>
        <v>18.7</v>
      </c>
      <c r="I140" s="123">
        <f t="shared" si="9"/>
        <v>21.94</v>
      </c>
      <c r="J140" s="292"/>
    </row>
    <row r="141" spans="1:11" ht="12.75">
      <c r="A141" s="22"/>
      <c r="B141" s="22"/>
      <c r="C141" s="22"/>
      <c r="D141" s="118" t="s">
        <v>643</v>
      </c>
      <c r="E141" s="197"/>
      <c r="F141" s="127">
        <f t="shared" si="9"/>
        <v>42.85</v>
      </c>
      <c r="G141" s="127">
        <f t="shared" si="9"/>
        <v>65.9</v>
      </c>
      <c r="H141" s="127">
        <f t="shared" si="9"/>
        <v>46.19</v>
      </c>
      <c r="I141" s="123">
        <f t="shared" si="9"/>
        <v>57.04</v>
      </c>
      <c r="J141" s="292"/>
      <c r="K141" s="1035" t="s">
        <v>239</v>
      </c>
    </row>
    <row r="142" spans="1:11" ht="12.75">
      <c r="A142" s="22"/>
      <c r="B142" s="22"/>
      <c r="C142" s="22"/>
      <c r="D142" s="118" t="s">
        <v>652</v>
      </c>
      <c r="E142" s="830"/>
      <c r="F142" s="127">
        <f t="shared" si="9"/>
        <v>42.85</v>
      </c>
      <c r="G142" s="127">
        <f t="shared" si="9"/>
        <v>65.9</v>
      </c>
      <c r="H142" s="127">
        <f t="shared" si="9"/>
        <v>54.22</v>
      </c>
      <c r="I142" s="123">
        <f t="shared" si="9"/>
        <v>57.04</v>
      </c>
      <c r="J142" s="292"/>
      <c r="K142" s="1036"/>
    </row>
    <row r="143" spans="1:12" ht="18" customHeight="1">
      <c r="A143" s="22"/>
      <c r="B143" s="1037" t="s">
        <v>236</v>
      </c>
      <c r="C143" s="831"/>
      <c r="D143" s="118" t="s">
        <v>140</v>
      </c>
      <c r="E143" s="366">
        <f aca="true" t="shared" si="10" ref="E143:I146">+E136*(1+$C$147)</f>
        <v>10.45</v>
      </c>
      <c r="F143" s="366">
        <f t="shared" si="10"/>
        <v>5</v>
      </c>
      <c r="G143" s="366">
        <f t="shared" si="10"/>
        <v>7.95</v>
      </c>
      <c r="H143" s="366">
        <f t="shared" si="10"/>
        <v>5.8999999999999995</v>
      </c>
      <c r="I143" s="366">
        <f t="shared" si="10"/>
        <v>6.8999999999999995</v>
      </c>
      <c r="J143" s="367"/>
      <c r="K143" s="368">
        <f aca="true" t="shared" si="11" ref="K143:K149">MIN(E143:I143)</f>
        <v>5</v>
      </c>
      <c r="L143" s="300"/>
    </row>
    <row r="144" spans="1:12" ht="18" customHeight="1">
      <c r="A144" s="22"/>
      <c r="B144" s="1037"/>
      <c r="C144" s="831"/>
      <c r="D144" s="118" t="s">
        <v>568</v>
      </c>
      <c r="E144" s="366">
        <f t="shared" si="10"/>
        <v>12.737499999999999</v>
      </c>
      <c r="F144" s="366">
        <f t="shared" si="10"/>
        <v>6.5375000000000005</v>
      </c>
      <c r="G144" s="366">
        <f t="shared" si="10"/>
        <v>9.549999999999999</v>
      </c>
      <c r="H144" s="366">
        <f t="shared" si="10"/>
        <v>7.5375000000000005</v>
      </c>
      <c r="I144" s="366">
        <f t="shared" si="10"/>
        <v>9.037500000000001</v>
      </c>
      <c r="J144" s="367"/>
      <c r="K144" s="368">
        <f t="shared" si="11"/>
        <v>6.5375000000000005</v>
      </c>
      <c r="L144" s="300"/>
    </row>
    <row r="145" spans="1:12" ht="18" customHeight="1">
      <c r="A145" s="22"/>
      <c r="B145" s="1037"/>
      <c r="C145" s="832"/>
      <c r="D145" s="783" t="s">
        <v>610</v>
      </c>
      <c r="E145" s="779">
        <f t="shared" si="10"/>
        <v>10.1375</v>
      </c>
      <c r="F145" s="366">
        <f aca="true" t="shared" si="12" ref="F145:I146">+F138*(1+$C$147)</f>
        <v>6.887499999999999</v>
      </c>
      <c r="G145" s="366">
        <f t="shared" si="12"/>
        <v>8.2375</v>
      </c>
      <c r="H145" s="366">
        <f t="shared" si="12"/>
        <v>6.75</v>
      </c>
      <c r="I145" s="366">
        <f t="shared" si="12"/>
        <v>9.225</v>
      </c>
      <c r="J145" s="367"/>
      <c r="K145" s="368">
        <f t="shared" si="11"/>
        <v>6.75</v>
      </c>
      <c r="L145" s="300"/>
    </row>
    <row r="146" spans="1:12" ht="18" customHeight="1">
      <c r="A146" s="22"/>
      <c r="B146" s="1037"/>
      <c r="C146" s="832"/>
      <c r="D146" s="783" t="s">
        <v>611</v>
      </c>
      <c r="E146" s="779">
        <f t="shared" si="10"/>
        <v>15.2125</v>
      </c>
      <c r="F146" s="366">
        <f t="shared" si="12"/>
        <v>10.337499999999999</v>
      </c>
      <c r="G146" s="366">
        <f t="shared" si="12"/>
        <v>12.3625</v>
      </c>
      <c r="H146" s="366">
        <f t="shared" si="12"/>
        <v>10.1125</v>
      </c>
      <c r="I146" s="366">
        <f t="shared" si="12"/>
        <v>13.825000000000001</v>
      </c>
      <c r="J146" s="367"/>
      <c r="K146" s="368">
        <f t="shared" si="11"/>
        <v>10.1125</v>
      </c>
      <c r="L146" s="300"/>
    </row>
    <row r="147" spans="1:11" ht="18" customHeight="1" thickBot="1">
      <c r="A147" s="22"/>
      <c r="B147" s="1037"/>
      <c r="C147" s="833">
        <f>+C148/100</f>
        <v>0.25</v>
      </c>
      <c r="D147" s="781" t="s">
        <v>141</v>
      </c>
      <c r="E147" s="366"/>
      <c r="F147" s="366">
        <f>+F140*(1+$C$147)</f>
        <v>20.6</v>
      </c>
      <c r="G147" s="366">
        <f aca="true" t="shared" si="13" ref="G147:I149">+G140*(1+$C$147)</f>
        <v>29.075000000000003</v>
      </c>
      <c r="H147" s="366">
        <f t="shared" si="13"/>
        <v>23.375</v>
      </c>
      <c r="I147" s="366">
        <f t="shared" si="13"/>
        <v>27.425</v>
      </c>
      <c r="J147" s="367"/>
      <c r="K147" s="368">
        <f t="shared" si="11"/>
        <v>20.6</v>
      </c>
    </row>
    <row r="148" spans="1:11" ht="21.75" customHeight="1">
      <c r="A148" s="22"/>
      <c r="B148" s="1037"/>
      <c r="C148" s="835">
        <v>25</v>
      </c>
      <c r="D148" s="118" t="s">
        <v>643</v>
      </c>
      <c r="E148" s="366"/>
      <c r="F148" s="366">
        <f>+F141*(1+$C$147)</f>
        <v>53.5625</v>
      </c>
      <c r="G148" s="366">
        <f t="shared" si="13"/>
        <v>82.375</v>
      </c>
      <c r="H148" s="366">
        <f t="shared" si="13"/>
        <v>57.7375</v>
      </c>
      <c r="I148" s="366">
        <f t="shared" si="13"/>
        <v>71.3</v>
      </c>
      <c r="J148" s="367"/>
      <c r="K148" s="368">
        <f t="shared" si="11"/>
        <v>53.5625</v>
      </c>
    </row>
    <row r="149" spans="1:11" ht="21.75" customHeight="1">
      <c r="A149" s="22"/>
      <c r="B149" s="1037"/>
      <c r="C149" s="321"/>
      <c r="D149" s="118" t="s">
        <v>652</v>
      </c>
      <c r="E149" s="779"/>
      <c r="F149" s="366">
        <f>+F142*(1+$C$147)</f>
        <v>53.5625</v>
      </c>
      <c r="G149" s="366">
        <f t="shared" si="13"/>
        <v>82.375</v>
      </c>
      <c r="H149" s="366">
        <f t="shared" si="13"/>
        <v>67.775</v>
      </c>
      <c r="I149" s="366">
        <f t="shared" si="13"/>
        <v>71.3</v>
      </c>
      <c r="J149" s="367"/>
      <c r="K149" s="368">
        <f t="shared" si="11"/>
        <v>53.5625</v>
      </c>
    </row>
    <row r="150" spans="1:7" ht="21" customHeight="1">
      <c r="A150" s="22"/>
      <c r="B150" s="22"/>
      <c r="C150" s="22"/>
      <c r="D150" s="834"/>
      <c r="E150" s="22"/>
      <c r="G150" s="299" t="s">
        <v>214</v>
      </c>
    </row>
    <row r="151" spans="1:5" ht="27" customHeight="1">
      <c r="A151" s="22"/>
      <c r="B151" s="22"/>
      <c r="C151" s="134" t="s">
        <v>143</v>
      </c>
      <c r="D151" s="231">
        <v>57</v>
      </c>
      <c r="E151" s="113" t="s">
        <v>144</v>
      </c>
    </row>
    <row r="152" spans="1:10" ht="18" customHeight="1">
      <c r="A152" s="22"/>
      <c r="B152" s="22"/>
      <c r="C152" s="133" t="s">
        <v>145</v>
      </c>
      <c r="D152" s="115" t="s">
        <v>146</v>
      </c>
      <c r="E152" s="116">
        <v>40</v>
      </c>
      <c r="F152" s="117">
        <v>40</v>
      </c>
      <c r="G152" s="117">
        <v>40</v>
      </c>
      <c r="H152" s="117">
        <v>35</v>
      </c>
      <c r="I152" s="117">
        <v>35</v>
      </c>
      <c r="J152" s="289"/>
    </row>
    <row r="153" spans="1:10" ht="12.75">
      <c r="A153" s="22"/>
      <c r="B153" s="105"/>
      <c r="C153" s="133" t="s">
        <v>147</v>
      </c>
      <c r="D153" s="118" t="s">
        <v>140</v>
      </c>
      <c r="E153" s="119">
        <f>$D$103*8/($D151/E152+E$95)</f>
        <v>3.440860215053763</v>
      </c>
      <c r="F153" s="119">
        <f>$D$103*8/($D151/F152+F$95)</f>
        <v>2.038216560509554</v>
      </c>
      <c r="G153" s="119">
        <f>$D$103*8/($D151/G152+G$95)</f>
        <v>2.831858407079646</v>
      </c>
      <c r="H153" s="119">
        <f>$D$103*8/($D151/H152+H$95)</f>
        <v>1.848184818481848</v>
      </c>
      <c r="I153" s="119">
        <f>$D$103*8/($D151/I152+I$95)</f>
        <v>2.0363636363636366</v>
      </c>
      <c r="J153" s="290"/>
    </row>
    <row r="154" spans="1:10" ht="12.75">
      <c r="A154" s="22"/>
      <c r="B154" s="105"/>
      <c r="C154" s="133"/>
      <c r="D154" s="118" t="s">
        <v>568</v>
      </c>
      <c r="E154" s="119">
        <f>$D$103*8/($D151/E152+E$96)</f>
        <v>3.2989690721649487</v>
      </c>
      <c r="F154" s="119">
        <f>$D$103*8/($D151/F152+F$96)</f>
        <v>1.807909604519774</v>
      </c>
      <c r="G154" s="119">
        <f>$D$103*8/($D151/G152+G$96)</f>
        <v>2.56</v>
      </c>
      <c r="H154" s="119">
        <f>$D$103*8/($D151/H152+H$96)</f>
        <v>1.6231884057971013</v>
      </c>
      <c r="I154" s="119">
        <f>$D$103*8/($D151/I152+I$96)</f>
        <v>1.848184818481848</v>
      </c>
      <c r="J154" s="290"/>
    </row>
    <row r="155" spans="1:10" ht="12.75">
      <c r="A155" s="22"/>
      <c r="B155" s="105"/>
      <c r="C155" s="133"/>
      <c r="D155" s="778" t="s">
        <v>615</v>
      </c>
      <c r="E155" s="119">
        <f>$D$103*8/($D151/E152+E$97)</f>
        <v>3.9506172839506175</v>
      </c>
      <c r="F155" s="119">
        <f>$D$103*8/($D151/F152+F$97)</f>
        <v>3.595505617977528</v>
      </c>
      <c r="G155" s="119">
        <f>$D$103*8/($D151/G152+G$97)</f>
        <v>3.595505617977528</v>
      </c>
      <c r="H155" s="119">
        <f>$D$103*8/($D151/H152+H$97)</f>
        <v>3.1638418079096047</v>
      </c>
      <c r="I155" s="119">
        <f>$D$103*8/($D151/I152+I$97)</f>
        <v>3.2941176470588234</v>
      </c>
      <c r="J155" s="290"/>
    </row>
    <row r="156" spans="1:10" ht="12.75">
      <c r="A156" s="22"/>
      <c r="B156" s="105"/>
      <c r="C156" s="133"/>
      <c r="D156" s="118" t="s">
        <v>141</v>
      </c>
      <c r="E156" s="119"/>
      <c r="F156" s="120">
        <f>$D$103*8/($D151/F152+F$98)</f>
        <v>3.168316831683168</v>
      </c>
      <c r="G156" s="120">
        <f>$D$103*8/($D151/G152+G$98)</f>
        <v>3.595505617977528</v>
      </c>
      <c r="H156" s="120">
        <f>$D$103*8/($D151/H152+H$98)</f>
        <v>2.931937172774869</v>
      </c>
      <c r="I156" s="120">
        <f>$D$103*8/($D151/I152+I$98)</f>
        <v>2.931937172774869</v>
      </c>
      <c r="J156" s="290"/>
    </row>
    <row r="157" spans="1:10" ht="12.75">
      <c r="A157" s="22"/>
      <c r="B157" s="105"/>
      <c r="C157" s="133"/>
      <c r="D157" s="118" t="s">
        <v>643</v>
      </c>
      <c r="E157" s="119"/>
      <c r="F157" s="120">
        <f>$D$103*8/($D$151/F$152+F$99)</f>
        <v>3.168316831683168</v>
      </c>
      <c r="G157" s="120">
        <f>$D$103*8/($D$151/G$152+G$99)</f>
        <v>3.595505617977528</v>
      </c>
      <c r="H157" s="120">
        <f>$D$103*8/($D$151/H$152+H$99)</f>
        <v>2.8282828282828287</v>
      </c>
      <c r="I157" s="120">
        <f>$D$103*8/($D$151/I$152+I$99)</f>
        <v>2.931937172774869</v>
      </c>
      <c r="J157" s="290"/>
    </row>
    <row r="158" spans="1:10" ht="12.75">
      <c r="A158" s="22"/>
      <c r="B158" s="105"/>
      <c r="C158" s="133"/>
      <c r="D158" s="118" t="s">
        <v>652</v>
      </c>
      <c r="E158" s="119"/>
      <c r="F158" s="120">
        <f>$D$103*8/($D$151/F$152+F$100)</f>
        <v>3.168316831683168</v>
      </c>
      <c r="G158" s="120">
        <f>$D$103*8/($D$151/G$152+G$100)</f>
        <v>3.595505617977528</v>
      </c>
      <c r="H158" s="120">
        <f>$D$103*8/($D$151/H$152+H$100)</f>
        <v>2.931937172774869</v>
      </c>
      <c r="I158" s="120">
        <f>$D$103*8/($D$151/I$152+I$100)</f>
        <v>2.931937172774869</v>
      </c>
      <c r="J158" s="290"/>
    </row>
    <row r="159" spans="1:10" ht="12.75">
      <c r="A159" s="22"/>
      <c r="B159" s="105"/>
      <c r="C159" s="133" t="s">
        <v>148</v>
      </c>
      <c r="D159" s="118" t="s">
        <v>140</v>
      </c>
      <c r="E159" s="121">
        <f>+E153*$D151*250</f>
        <v>49032.25806451612</v>
      </c>
      <c r="F159" s="36">
        <f>+F153*$D151*250</f>
        <v>29044.585987261147</v>
      </c>
      <c r="G159" s="36">
        <f>+G153*$D151*250</f>
        <v>40353.982300884956</v>
      </c>
      <c r="H159" s="36">
        <f>+H153*$D151*250</f>
        <v>26336.63366336633</v>
      </c>
      <c r="I159" s="36">
        <f>+I153*$D151*250</f>
        <v>29018.181818181823</v>
      </c>
      <c r="J159" s="129"/>
    </row>
    <row r="160" spans="1:10" ht="12.75">
      <c r="A160" s="22"/>
      <c r="B160" s="105"/>
      <c r="C160" s="133"/>
      <c r="D160" s="118" t="s">
        <v>568</v>
      </c>
      <c r="E160" s="121">
        <f>+E154*$D151*250</f>
        <v>47010.30927835052</v>
      </c>
      <c r="F160" s="121">
        <f>+F154*$D151*250</f>
        <v>25762.711864406778</v>
      </c>
      <c r="G160" s="121">
        <f>+G154*$D151*250</f>
        <v>36480.00000000001</v>
      </c>
      <c r="H160" s="121">
        <f>+H154*$D151*250</f>
        <v>23130.434782608696</v>
      </c>
      <c r="I160" s="121">
        <f>+I154*$D151*250</f>
        <v>26336.63366336633</v>
      </c>
      <c r="J160" s="129"/>
    </row>
    <row r="161" spans="1:10" ht="12.75">
      <c r="A161" s="22"/>
      <c r="B161" s="105"/>
      <c r="C161" s="133"/>
      <c r="D161" s="778" t="s">
        <v>615</v>
      </c>
      <c r="E161" s="121">
        <f>+E155*$D151*250</f>
        <v>56296.2962962963</v>
      </c>
      <c r="F161" s="121">
        <f>+F155*$D151*250</f>
        <v>51235.95505617977</v>
      </c>
      <c r="G161" s="121">
        <f>+G155*$D151*250</f>
        <v>51235.95505617977</v>
      </c>
      <c r="H161" s="121">
        <f>+H155*$D151*250</f>
        <v>45084.74576271187</v>
      </c>
      <c r="I161" s="121">
        <f>+I155*$D151*250</f>
        <v>46941.17647058823</v>
      </c>
      <c r="J161" s="129"/>
    </row>
    <row r="162" spans="1:10" ht="12.75" customHeight="1">
      <c r="A162" s="22"/>
      <c r="B162" s="105"/>
      <c r="C162" s="133"/>
      <c r="D162" s="118" t="s">
        <v>141</v>
      </c>
      <c r="E162" s="122"/>
      <c r="F162" s="36">
        <f>+F156*$D151*250</f>
        <v>45148.514851485146</v>
      </c>
      <c r="G162" s="36">
        <f>+G156*$D151*250</f>
        <v>51235.95505617977</v>
      </c>
      <c r="H162" s="36">
        <f>+H156*$D151*250</f>
        <v>41780.10471204188</v>
      </c>
      <c r="I162" s="36">
        <f>+I156*$D151*250</f>
        <v>41780.10471204188</v>
      </c>
      <c r="J162" s="129"/>
    </row>
    <row r="163" spans="1:10" ht="12.75" customHeight="1">
      <c r="A163" s="22"/>
      <c r="B163" s="105"/>
      <c r="C163" s="133"/>
      <c r="D163" s="118" t="s">
        <v>643</v>
      </c>
      <c r="E163" s="122"/>
      <c r="F163" s="36">
        <f>+F157*$D$151*250</f>
        <v>45148.514851485146</v>
      </c>
      <c r="G163" s="36">
        <f aca="true" t="shared" si="14" ref="G163:I164">+G157*$D$151*250</f>
        <v>51235.95505617977</v>
      </c>
      <c r="H163" s="36">
        <f t="shared" si="14"/>
        <v>40303.03030303031</v>
      </c>
      <c r="I163" s="36">
        <f t="shared" si="14"/>
        <v>41780.10471204188</v>
      </c>
      <c r="J163" s="129"/>
    </row>
    <row r="164" spans="1:10" ht="12.75" customHeight="1">
      <c r="A164" s="22"/>
      <c r="B164" s="105"/>
      <c r="C164" s="133"/>
      <c r="D164" s="118" t="s">
        <v>652</v>
      </c>
      <c r="E164" s="292"/>
      <c r="F164" s="36">
        <f>+F158*$D$151*250</f>
        <v>45148.514851485146</v>
      </c>
      <c r="G164" s="36">
        <f t="shared" si="14"/>
        <v>51235.95505617977</v>
      </c>
      <c r="H164" s="36">
        <f t="shared" si="14"/>
        <v>41780.10471204188</v>
      </c>
      <c r="I164" s="36">
        <f t="shared" si="14"/>
        <v>41780.10471204188</v>
      </c>
      <c r="J164" s="129"/>
    </row>
    <row r="165" spans="1:12" ht="12.75">
      <c r="A165" s="22"/>
      <c r="B165" s="105"/>
      <c r="C165" s="133" t="s">
        <v>149</v>
      </c>
      <c r="D165" s="118" t="s">
        <v>140</v>
      </c>
      <c r="E165" s="124">
        <f aca="true" t="shared" si="15" ref="E165:I167">+E159*E$59</f>
        <v>43871.612903225796</v>
      </c>
      <c r="F165" s="125">
        <f t="shared" si="15"/>
        <v>37583.69426751592</v>
      </c>
      <c r="G165" s="125">
        <f t="shared" si="15"/>
        <v>52218.05309734513</v>
      </c>
      <c r="H165" s="125">
        <f t="shared" si="15"/>
        <v>43666.138613861374</v>
      </c>
      <c r="I165" s="125">
        <f t="shared" si="15"/>
        <v>45616.581818181825</v>
      </c>
      <c r="J165" s="285"/>
      <c r="K165" s="1040" t="s">
        <v>240</v>
      </c>
      <c r="L165" s="1040" t="s">
        <v>614</v>
      </c>
    </row>
    <row r="166" spans="1:12" ht="12.75">
      <c r="A166" s="22"/>
      <c r="B166" s="105"/>
      <c r="C166" s="133"/>
      <c r="D166" s="118" t="s">
        <v>568</v>
      </c>
      <c r="E166" s="124">
        <f t="shared" si="15"/>
        <v>42062.47422680412</v>
      </c>
      <c r="F166" s="125">
        <f t="shared" si="15"/>
        <v>33336.94915254237</v>
      </c>
      <c r="G166" s="125">
        <f t="shared" si="15"/>
        <v>47205.12000000001</v>
      </c>
      <c r="H166" s="125">
        <f t="shared" si="15"/>
        <v>38350.260869565216</v>
      </c>
      <c r="I166" s="125">
        <f t="shared" si="15"/>
        <v>41401.18811881187</v>
      </c>
      <c r="J166" s="285"/>
      <c r="K166" s="1041"/>
      <c r="L166" s="1041"/>
    </row>
    <row r="167" spans="1:12" ht="12.75">
      <c r="A167" s="22"/>
      <c r="B167" s="105"/>
      <c r="C167" s="133"/>
      <c r="D167" s="778" t="s">
        <v>615</v>
      </c>
      <c r="E167" s="124">
        <f t="shared" si="15"/>
        <v>50371.11111111111</v>
      </c>
      <c r="F167" s="124">
        <f t="shared" si="15"/>
        <v>66299.32584269663</v>
      </c>
      <c r="G167" s="124">
        <f t="shared" si="15"/>
        <v>66299.32584269663</v>
      </c>
      <c r="H167" s="124">
        <f t="shared" si="15"/>
        <v>74750.50847457627</v>
      </c>
      <c r="I167" s="124">
        <f t="shared" si="15"/>
        <v>73791.5294117647</v>
      </c>
      <c r="J167" s="285"/>
      <c r="K167" s="1041"/>
      <c r="L167" s="1041"/>
    </row>
    <row r="168" spans="1:12" ht="12.75">
      <c r="A168" s="22"/>
      <c r="B168" s="105"/>
      <c r="C168" s="133"/>
      <c r="D168" s="118" t="s">
        <v>141</v>
      </c>
      <c r="E168" s="124"/>
      <c r="F168" s="125">
        <f>+F162*F$59</f>
        <v>58422.17821782178</v>
      </c>
      <c r="G168" s="125">
        <f aca="true" t="shared" si="16" ref="G168:I170">+G162*G$59</f>
        <v>66299.32584269663</v>
      </c>
      <c r="H168" s="125">
        <f t="shared" si="16"/>
        <v>69271.41361256543</v>
      </c>
      <c r="I168" s="125">
        <f t="shared" si="16"/>
        <v>65678.32460732984</v>
      </c>
      <c r="J168" s="285"/>
      <c r="K168" s="1041"/>
      <c r="L168" s="1041"/>
    </row>
    <row r="169" spans="1:12" ht="12.75">
      <c r="A169" s="22"/>
      <c r="B169" s="105"/>
      <c r="C169" s="133"/>
      <c r="D169" s="118" t="s">
        <v>643</v>
      </c>
      <c r="E169" s="124"/>
      <c r="F169" s="125">
        <f>+F163*F$59</f>
        <v>58422.17821782178</v>
      </c>
      <c r="G169" s="125">
        <f t="shared" si="16"/>
        <v>66299.32584269663</v>
      </c>
      <c r="H169" s="125">
        <f t="shared" si="16"/>
        <v>66822.42424242425</v>
      </c>
      <c r="I169" s="125">
        <f t="shared" si="16"/>
        <v>65678.32460732984</v>
      </c>
      <c r="J169" s="285"/>
      <c r="K169" s="1041"/>
      <c r="L169" s="1041"/>
    </row>
    <row r="170" spans="1:12" ht="12.75">
      <c r="A170" s="22"/>
      <c r="B170" s="105"/>
      <c r="C170" s="133"/>
      <c r="D170" s="118" t="s">
        <v>652</v>
      </c>
      <c r="E170" s="124"/>
      <c r="F170" s="125">
        <f>+F164*F$59</f>
        <v>58422.17821782178</v>
      </c>
      <c r="G170" s="125">
        <f t="shared" si="16"/>
        <v>66299.32584269663</v>
      </c>
      <c r="H170" s="125">
        <f t="shared" si="16"/>
        <v>69271.41361256543</v>
      </c>
      <c r="I170" s="125">
        <f t="shared" si="16"/>
        <v>65678.32460732984</v>
      </c>
      <c r="J170" s="285"/>
      <c r="K170" s="1042"/>
      <c r="L170" s="1042"/>
    </row>
    <row r="171" spans="1:12" ht="12.75">
      <c r="A171" s="22"/>
      <c r="B171" s="105"/>
      <c r="C171" s="133" t="s">
        <v>150</v>
      </c>
      <c r="D171" s="118" t="s">
        <v>140</v>
      </c>
      <c r="E171" s="124">
        <f aca="true" t="shared" si="17" ref="E171:I173">+E165+$D$103*E$81+E$53</f>
        <v>213477.6129032258</v>
      </c>
      <c r="F171" s="124">
        <f t="shared" si="17"/>
        <v>247259.6942675159</v>
      </c>
      <c r="G171" s="124">
        <f t="shared" si="17"/>
        <v>260724.05309734514</v>
      </c>
      <c r="H171" s="124">
        <f t="shared" si="17"/>
        <v>285622.1386138614</v>
      </c>
      <c r="I171" s="124">
        <f t="shared" si="17"/>
        <v>308272.5818181818</v>
      </c>
      <c r="J171" s="285"/>
      <c r="K171" s="303">
        <f aca="true" t="array" ref="K171">SUM(IF((E190:I190=$K190),E171:I171,0))</f>
        <v>247259.6942675159</v>
      </c>
      <c r="L171" s="303">
        <f aca="true" t="shared" si="18" ref="L171:L176">K171*(1+$C$147)</f>
        <v>309074.6178343949</v>
      </c>
    </row>
    <row r="172" spans="1:12" ht="12.75" customHeight="1">
      <c r="A172" s="22"/>
      <c r="B172" s="105"/>
      <c r="C172" s="133"/>
      <c r="D172" s="118" t="s">
        <v>568</v>
      </c>
      <c r="E172" s="124">
        <f t="shared" si="17"/>
        <v>211668.47422680413</v>
      </c>
      <c r="F172" s="124">
        <f t="shared" si="17"/>
        <v>243012.94915254237</v>
      </c>
      <c r="G172" s="124">
        <f t="shared" si="17"/>
        <v>255711.12</v>
      </c>
      <c r="H172" s="124">
        <f t="shared" si="17"/>
        <v>280306.2608695652</v>
      </c>
      <c r="I172" s="124">
        <f t="shared" si="17"/>
        <v>304057.1881188119</v>
      </c>
      <c r="J172" s="285"/>
      <c r="K172" s="303">
        <f aca="true" t="array" ref="K172">SUM(IF((E191:I191=$K191),E172:I172,0))</f>
        <v>243012.94915254237</v>
      </c>
      <c r="L172" s="303">
        <f t="shared" si="18"/>
        <v>303766.18644067796</v>
      </c>
    </row>
    <row r="173" spans="1:12" ht="12.75">
      <c r="A173" s="22"/>
      <c r="B173" s="105"/>
      <c r="C173" s="133"/>
      <c r="D173" s="778" t="s">
        <v>615</v>
      </c>
      <c r="E173" s="124">
        <f t="shared" si="17"/>
        <v>219977.11111111112</v>
      </c>
      <c r="F173" s="124">
        <f t="shared" si="17"/>
        <v>275975.32584269665</v>
      </c>
      <c r="G173" s="124">
        <f t="shared" si="17"/>
        <v>274805.32584269665</v>
      </c>
      <c r="H173" s="124">
        <f t="shared" si="17"/>
        <v>316706.5084745763</v>
      </c>
      <c r="I173" s="124">
        <f t="shared" si="17"/>
        <v>336447.5294117647</v>
      </c>
      <c r="J173" s="285"/>
      <c r="K173" s="303">
        <f aca="true" t="array" ref="K173">SUM(IF((E192:I192=$K192),E173:I173,0))</f>
        <v>316706.5084745763</v>
      </c>
      <c r="L173" s="303">
        <f t="shared" si="18"/>
        <v>395883.13559322036</v>
      </c>
    </row>
    <row r="174" spans="1:12" ht="12.75">
      <c r="A174" s="22"/>
      <c r="B174" s="105"/>
      <c r="C174" s="133"/>
      <c r="D174" s="118" t="s">
        <v>141</v>
      </c>
      <c r="E174" s="122"/>
      <c r="F174" s="124">
        <f>+F168+$D$103*F$81+F$53+F$54</f>
        <v>268098.17821782175</v>
      </c>
      <c r="G174" s="124">
        <f aca="true" t="shared" si="19" ref="G174:I176">+G168+$D$103*G$81+G$53+G$54</f>
        <v>274805.32584269665</v>
      </c>
      <c r="H174" s="124">
        <f t="shared" si="19"/>
        <v>311227.41361256543</v>
      </c>
      <c r="I174" s="124">
        <f t="shared" si="19"/>
        <v>328334.32460732985</v>
      </c>
      <c r="J174" s="285"/>
      <c r="K174" s="303">
        <f aca="true" t="array" ref="K174">SUM(IF((E194:I194=$K194),E174:I174,0))</f>
        <v>268098.17821782175</v>
      </c>
      <c r="L174" s="303">
        <f t="shared" si="18"/>
        <v>335122.7227722772</v>
      </c>
    </row>
    <row r="175" spans="1:12" ht="12.75">
      <c r="A175" s="22"/>
      <c r="B175" s="105"/>
      <c r="C175" s="105"/>
      <c r="D175" s="118" t="s">
        <v>643</v>
      </c>
      <c r="E175" s="122"/>
      <c r="F175" s="124">
        <f>+F169+$D$103*F$81+F$53+F$54</f>
        <v>268098.17821782175</v>
      </c>
      <c r="G175" s="124">
        <f t="shared" si="19"/>
        <v>274805.32584269665</v>
      </c>
      <c r="H175" s="124">
        <f t="shared" si="19"/>
        <v>308778.42424242425</v>
      </c>
      <c r="I175" s="124">
        <f t="shared" si="19"/>
        <v>328334.32460732985</v>
      </c>
      <c r="J175" s="285"/>
      <c r="K175" s="303">
        <f aca="true" t="array" ref="K175">SUM(IF((E195:I195=$K195),E175:I175,0))</f>
        <v>268098.17821782175</v>
      </c>
      <c r="L175" s="303">
        <f t="shared" si="18"/>
        <v>335122.7227722772</v>
      </c>
    </row>
    <row r="176" spans="1:12" ht="12.75">
      <c r="A176" s="22"/>
      <c r="B176" s="105"/>
      <c r="C176" s="105"/>
      <c r="D176" s="118" t="s">
        <v>652</v>
      </c>
      <c r="E176" s="292"/>
      <c r="F176" s="124">
        <f>+F170+$D$103*F$81+F$53+F$54</f>
        <v>268098.17821782175</v>
      </c>
      <c r="G176" s="124">
        <f t="shared" si="19"/>
        <v>274805.32584269665</v>
      </c>
      <c r="H176" s="124">
        <f t="shared" si="19"/>
        <v>311227.41361256543</v>
      </c>
      <c r="I176" s="124">
        <f t="shared" si="19"/>
        <v>328334.32460732985</v>
      </c>
      <c r="J176" s="285"/>
      <c r="K176" s="303">
        <f aca="true" t="array" ref="K176">SUM(IF((E196:I196=$K196),E176:I176,0))</f>
        <v>268098.17821782175</v>
      </c>
      <c r="L176" s="303">
        <f t="shared" si="18"/>
        <v>335122.7227722772</v>
      </c>
    </row>
    <row r="177" spans="1:10" ht="12.75">
      <c r="A177" s="22"/>
      <c r="B177" s="1038" t="s">
        <v>151</v>
      </c>
      <c r="C177" s="1039"/>
      <c r="D177" s="118" t="s">
        <v>140</v>
      </c>
      <c r="E177" s="126">
        <f>+E153*250*E$86</f>
        <v>32688.17204301075</v>
      </c>
      <c r="F177" s="126">
        <f>+F153*250*F$86</f>
        <v>73375.79617834394</v>
      </c>
      <c r="G177" s="126">
        <f>+G153*250*G$86</f>
        <v>50973.45132743363</v>
      </c>
      <c r="H177" s="126">
        <f>+H153*250*H$86</f>
        <v>72079.20792079208</v>
      </c>
      <c r="I177" s="126">
        <f>+I153*250*I$86</f>
        <v>67200</v>
      </c>
      <c r="J177" s="291"/>
    </row>
    <row r="178" spans="1:10" ht="12.75">
      <c r="A178" s="22"/>
      <c r="B178" s="737"/>
      <c r="C178" s="738"/>
      <c r="D178" s="118" t="s">
        <v>568</v>
      </c>
      <c r="E178" s="126">
        <f>+E154*250*E$87</f>
        <v>26391.75257731959</v>
      </c>
      <c r="F178" s="126">
        <f>+F154*250*F$87</f>
        <v>54237.28813559322</v>
      </c>
      <c r="G178" s="126">
        <f>+G154*250*G$87</f>
        <v>40960</v>
      </c>
      <c r="H178" s="126">
        <f>+H154*250*H$87</f>
        <v>54376.81159420289</v>
      </c>
      <c r="I178" s="126">
        <f>+I154*250*I$87</f>
        <v>49900.9900990099</v>
      </c>
      <c r="J178" s="291"/>
    </row>
    <row r="179" spans="1:10" ht="12.75">
      <c r="A179" s="22"/>
      <c r="B179" s="737"/>
      <c r="C179" s="738"/>
      <c r="D179" s="778" t="s">
        <v>615</v>
      </c>
      <c r="E179" s="126">
        <f>+E155*250*E$88</f>
        <v>2962.962962962963</v>
      </c>
      <c r="F179" s="126">
        <f>+F155*250*F$88</f>
        <v>5393.258426966292</v>
      </c>
      <c r="G179" s="126">
        <f>+G155*250*G$88</f>
        <v>4494.38202247191</v>
      </c>
      <c r="H179" s="126">
        <f>+H155*250*H$88</f>
        <v>6327.683615819209</v>
      </c>
      <c r="I179" s="126">
        <f>+I155*250*I$88</f>
        <v>4941.176470588235</v>
      </c>
      <c r="J179" s="291"/>
    </row>
    <row r="180" spans="1:10" ht="12.75">
      <c r="A180" s="22"/>
      <c r="B180" s="22"/>
      <c r="C180" s="22"/>
      <c r="D180" s="118" t="s">
        <v>141</v>
      </c>
      <c r="E180" s="126">
        <f>+E156*250*E$91</f>
        <v>0</v>
      </c>
      <c r="F180" s="126">
        <f>+F156*250*F$91</f>
        <v>20594.059405940592</v>
      </c>
      <c r="G180" s="126">
        <f>+G156*250*G$91</f>
        <v>15280.898876404493</v>
      </c>
      <c r="H180" s="126">
        <f>+H156*250*H$91</f>
        <v>21256.5445026178</v>
      </c>
      <c r="I180" s="126">
        <f>+I156*250*I$91</f>
        <v>19057.59162303665</v>
      </c>
      <c r="J180" s="291"/>
    </row>
    <row r="181" spans="1:10" ht="12.75">
      <c r="A181" s="22"/>
      <c r="B181" s="22"/>
      <c r="C181" s="22"/>
      <c r="D181" s="118" t="s">
        <v>643</v>
      </c>
      <c r="E181" s="126">
        <f>+E157*250*E$92</f>
        <v>0</v>
      </c>
      <c r="F181" s="126">
        <f>+F157*250*F$92</f>
        <v>7920.79207920792</v>
      </c>
      <c r="G181" s="126">
        <f>+G157*250*G$92</f>
        <v>5393.258426966292</v>
      </c>
      <c r="H181" s="126">
        <f>+H157*250*H$92</f>
        <v>8484.848484848486</v>
      </c>
      <c r="I181" s="126">
        <f>+I157*250*I$92</f>
        <v>7329.842931937173</v>
      </c>
      <c r="J181" s="291"/>
    </row>
    <row r="182" spans="1:10" ht="12.75">
      <c r="A182" s="22"/>
      <c r="B182" s="22"/>
      <c r="C182" s="22"/>
      <c r="D182" s="118" t="s">
        <v>652</v>
      </c>
      <c r="E182" s="126">
        <f>+E158*250*E$92</f>
        <v>0</v>
      </c>
      <c r="F182" s="126">
        <f>+F158*250*F$92</f>
        <v>7920.79207920792</v>
      </c>
      <c r="G182" s="126">
        <f>+G158*250*G$93</f>
        <v>5393.258426966292</v>
      </c>
      <c r="H182" s="126">
        <f>+H158*250*H$93</f>
        <v>7329.842931937173</v>
      </c>
      <c r="I182" s="126">
        <f>+I158*250*I$93</f>
        <v>7329.842931937173</v>
      </c>
      <c r="J182" s="291"/>
    </row>
    <row r="183" spans="1:10" ht="12.75">
      <c r="A183" s="22"/>
      <c r="B183" s="22"/>
      <c r="C183" s="132" t="s">
        <v>152</v>
      </c>
      <c r="D183" s="118" t="s">
        <v>140</v>
      </c>
      <c r="E183" s="123">
        <f aca="true" t="shared" si="20" ref="E183:I184">ROUND(+E171/E177,2)</f>
        <v>6.53</v>
      </c>
      <c r="F183" s="127">
        <f t="shared" si="20"/>
        <v>3.37</v>
      </c>
      <c r="G183" s="123">
        <f t="shared" si="20"/>
        <v>5.11</v>
      </c>
      <c r="H183" s="123">
        <f t="shared" si="20"/>
        <v>3.96</v>
      </c>
      <c r="I183" s="123">
        <f t="shared" si="20"/>
        <v>4.59</v>
      </c>
      <c r="J183" s="292"/>
    </row>
    <row r="184" spans="1:10" ht="12.75">
      <c r="A184" s="22"/>
      <c r="B184" s="22"/>
      <c r="C184" s="132"/>
      <c r="D184" s="784" t="s">
        <v>568</v>
      </c>
      <c r="E184" s="123">
        <f t="shared" si="20"/>
        <v>8.02</v>
      </c>
      <c r="F184" s="127">
        <f t="shared" si="20"/>
        <v>4.48</v>
      </c>
      <c r="G184" s="123">
        <f t="shared" si="20"/>
        <v>6.24</v>
      </c>
      <c r="H184" s="123">
        <f t="shared" si="20"/>
        <v>5.15</v>
      </c>
      <c r="I184" s="123">
        <f t="shared" si="20"/>
        <v>6.09</v>
      </c>
      <c r="J184" s="292"/>
    </row>
    <row r="185" spans="1:10" ht="12.75">
      <c r="A185" s="22"/>
      <c r="B185" s="22"/>
      <c r="C185" s="5"/>
      <c r="D185" s="783" t="s">
        <v>610</v>
      </c>
      <c r="E185" s="123">
        <f>ROUND(+E173/E179/12,2)</f>
        <v>6.19</v>
      </c>
      <c r="F185" s="123">
        <f>ROUND(+F173/F179/12,2)</f>
        <v>4.26</v>
      </c>
      <c r="G185" s="123">
        <f>ROUND(+G173/G179/12,2)</f>
        <v>5.1</v>
      </c>
      <c r="H185" s="123">
        <f>ROUND(+H173/H179/12,2)</f>
        <v>4.17</v>
      </c>
      <c r="I185" s="123">
        <f>ROUND(+I173/I179/12,2)</f>
        <v>5.67</v>
      </c>
      <c r="J185" s="292"/>
    </row>
    <row r="186" spans="1:10" ht="12.75">
      <c r="A186" s="22"/>
      <c r="B186" s="22"/>
      <c r="C186" s="5"/>
      <c r="D186" s="783" t="s">
        <v>611</v>
      </c>
      <c r="E186" s="123">
        <f>ROUND(+E173/E179/8,2)</f>
        <v>9.28</v>
      </c>
      <c r="F186" s="123">
        <f>ROUND(+F173/F179/8,2)</f>
        <v>6.4</v>
      </c>
      <c r="G186" s="123">
        <f>ROUND(+G173/G179/8,2)</f>
        <v>7.64</v>
      </c>
      <c r="H186" s="123">
        <f>ROUND(+H173/H179/8,2)</f>
        <v>6.26</v>
      </c>
      <c r="I186" s="123">
        <f>ROUND(+I173/I179/8,2)</f>
        <v>8.51</v>
      </c>
      <c r="J186" s="292"/>
    </row>
    <row r="187" spans="1:10" ht="12.75">
      <c r="A187" s="22"/>
      <c r="B187" s="22"/>
      <c r="C187" s="22"/>
      <c r="D187" s="781" t="s">
        <v>141</v>
      </c>
      <c r="E187" s="197"/>
      <c r="F187" s="127">
        <f>ROUND(+F174/F180,2)</f>
        <v>13.02</v>
      </c>
      <c r="G187" s="127">
        <f aca="true" t="shared" si="21" ref="G187:I189">ROUND(+G174/G180,2)</f>
        <v>17.98</v>
      </c>
      <c r="H187" s="127">
        <f t="shared" si="21"/>
        <v>14.64</v>
      </c>
      <c r="I187" s="123">
        <f t="shared" si="21"/>
        <v>17.23</v>
      </c>
      <c r="J187" s="292"/>
    </row>
    <row r="188" spans="1:11" ht="12.75">
      <c r="A188" s="22"/>
      <c r="B188" s="22"/>
      <c r="C188" s="22"/>
      <c r="D188" s="118" t="s">
        <v>643</v>
      </c>
      <c r="E188" s="197"/>
      <c r="F188" s="127">
        <f>ROUND(+F175/F181,2)</f>
        <v>33.85</v>
      </c>
      <c r="G188" s="127">
        <f t="shared" si="21"/>
        <v>50.95</v>
      </c>
      <c r="H188" s="127">
        <f t="shared" si="21"/>
        <v>36.39</v>
      </c>
      <c r="I188" s="123">
        <f t="shared" si="21"/>
        <v>44.79</v>
      </c>
      <c r="J188" s="292"/>
      <c r="K188" s="1035" t="s">
        <v>239</v>
      </c>
    </row>
    <row r="189" spans="1:11" ht="12.75">
      <c r="A189" s="22"/>
      <c r="B189" s="22"/>
      <c r="C189" s="22"/>
      <c r="D189" s="118" t="s">
        <v>652</v>
      </c>
      <c r="E189" s="830"/>
      <c r="F189" s="127">
        <f>ROUND(+F176/F182,2)</f>
        <v>33.85</v>
      </c>
      <c r="G189" s="127">
        <f t="shared" si="21"/>
        <v>50.95</v>
      </c>
      <c r="H189" s="127">
        <f t="shared" si="21"/>
        <v>42.46</v>
      </c>
      <c r="I189" s="123">
        <f t="shared" si="21"/>
        <v>44.79</v>
      </c>
      <c r="J189" s="292"/>
      <c r="K189" s="1036"/>
    </row>
    <row r="190" spans="1:11" ht="15" customHeight="1">
      <c r="A190" s="22"/>
      <c r="B190" s="1037" t="s">
        <v>237</v>
      </c>
      <c r="C190" s="836"/>
      <c r="D190" s="118" t="s">
        <v>140</v>
      </c>
      <c r="E190" s="366">
        <f aca="true" t="shared" si="22" ref="E190:I193">+E183*(1+$C$147)</f>
        <v>8.1625</v>
      </c>
      <c r="F190" s="366">
        <f t="shared" si="22"/>
        <v>4.2125</v>
      </c>
      <c r="G190" s="366">
        <f t="shared" si="22"/>
        <v>6.3875</v>
      </c>
      <c r="H190" s="366">
        <f t="shared" si="22"/>
        <v>4.95</v>
      </c>
      <c r="I190" s="366">
        <f t="shared" si="22"/>
        <v>5.7375</v>
      </c>
      <c r="J190" s="367"/>
      <c r="K190" s="368">
        <f aca="true" t="shared" si="23" ref="K190:K196">MIN(E190:I190)</f>
        <v>4.2125</v>
      </c>
    </row>
    <row r="191" spans="1:11" ht="15" customHeight="1">
      <c r="A191" s="22"/>
      <c r="B191" s="1037"/>
      <c r="C191" s="837"/>
      <c r="D191" s="780" t="s">
        <v>568</v>
      </c>
      <c r="E191" s="779">
        <f t="shared" si="22"/>
        <v>10.024999999999999</v>
      </c>
      <c r="F191" s="366">
        <f t="shared" si="22"/>
        <v>5.6000000000000005</v>
      </c>
      <c r="G191" s="366">
        <f t="shared" si="22"/>
        <v>7.800000000000001</v>
      </c>
      <c r="H191" s="366">
        <f t="shared" si="22"/>
        <v>6.4375</v>
      </c>
      <c r="I191" s="366">
        <f t="shared" si="22"/>
        <v>7.6125</v>
      </c>
      <c r="J191" s="367"/>
      <c r="K191" s="368">
        <f t="shared" si="23"/>
        <v>5.6000000000000005</v>
      </c>
    </row>
    <row r="192" spans="1:11" ht="15" customHeight="1">
      <c r="A192" s="22"/>
      <c r="B192" s="1037"/>
      <c r="C192" s="838"/>
      <c r="D192" s="783" t="s">
        <v>610</v>
      </c>
      <c r="E192" s="779">
        <f t="shared" si="22"/>
        <v>7.737500000000001</v>
      </c>
      <c r="F192" s="366">
        <f t="shared" si="22"/>
        <v>5.324999999999999</v>
      </c>
      <c r="G192" s="366">
        <f t="shared" si="22"/>
        <v>6.375</v>
      </c>
      <c r="H192" s="366">
        <f t="shared" si="22"/>
        <v>5.2125</v>
      </c>
      <c r="I192" s="366">
        <f t="shared" si="22"/>
        <v>7.0875</v>
      </c>
      <c r="J192" s="367"/>
      <c r="K192" s="368">
        <f t="shared" si="23"/>
        <v>5.2125</v>
      </c>
    </row>
    <row r="193" spans="1:11" ht="15" customHeight="1">
      <c r="A193" s="22"/>
      <c r="B193" s="1037"/>
      <c r="C193" s="838"/>
      <c r="D193" s="783" t="s">
        <v>611</v>
      </c>
      <c r="E193" s="779">
        <f t="shared" si="22"/>
        <v>11.6</v>
      </c>
      <c r="F193" s="366">
        <f t="shared" si="22"/>
        <v>8</v>
      </c>
      <c r="G193" s="366">
        <f t="shared" si="22"/>
        <v>9.549999999999999</v>
      </c>
      <c r="H193" s="366">
        <f t="shared" si="22"/>
        <v>7.824999999999999</v>
      </c>
      <c r="I193" s="366">
        <f t="shared" si="22"/>
        <v>10.6375</v>
      </c>
      <c r="J193" s="367"/>
      <c r="K193" s="368">
        <f t="shared" si="23"/>
        <v>7.824999999999999</v>
      </c>
    </row>
    <row r="194" spans="1:11" ht="15" customHeight="1">
      <c r="A194" s="22"/>
      <c r="B194" s="1037"/>
      <c r="C194" s="839">
        <f>+$C$147</f>
        <v>0.25</v>
      </c>
      <c r="D194" s="781" t="s">
        <v>141</v>
      </c>
      <c r="E194" s="366"/>
      <c r="F194" s="366">
        <f>+F187*(1+$C$147)</f>
        <v>16.275</v>
      </c>
      <c r="G194" s="366">
        <f aca="true" t="shared" si="24" ref="G194:I196">+G187*(1+$C$147)</f>
        <v>22.475</v>
      </c>
      <c r="H194" s="366">
        <f t="shared" si="24"/>
        <v>18.3</v>
      </c>
      <c r="I194" s="366">
        <f t="shared" si="24"/>
        <v>21.5375</v>
      </c>
      <c r="J194" s="367"/>
      <c r="K194" s="368">
        <f t="shared" si="23"/>
        <v>16.275</v>
      </c>
    </row>
    <row r="195" spans="1:11" ht="15" customHeight="1">
      <c r="A195" s="22"/>
      <c r="B195" s="1037"/>
      <c r="C195" s="840"/>
      <c r="D195" s="118" t="s">
        <v>643</v>
      </c>
      <c r="E195" s="366"/>
      <c r="F195" s="366">
        <f>+F188*(1+$C$147)</f>
        <v>42.3125</v>
      </c>
      <c r="G195" s="366">
        <f t="shared" si="24"/>
        <v>63.6875</v>
      </c>
      <c r="H195" s="366">
        <f t="shared" si="24"/>
        <v>45.4875</v>
      </c>
      <c r="I195" s="366">
        <f t="shared" si="24"/>
        <v>55.9875</v>
      </c>
      <c r="J195" s="367"/>
      <c r="K195" s="368">
        <f t="shared" si="23"/>
        <v>42.3125</v>
      </c>
    </row>
    <row r="196" spans="1:11" ht="15" customHeight="1">
      <c r="A196" s="22"/>
      <c r="B196" s="1037"/>
      <c r="C196" s="841"/>
      <c r="D196" s="118" t="s">
        <v>652</v>
      </c>
      <c r="E196" s="779"/>
      <c r="F196" s="366">
        <f>+F189*(1+$C$147)</f>
        <v>42.3125</v>
      </c>
      <c r="G196" s="366">
        <f t="shared" si="24"/>
        <v>63.6875</v>
      </c>
      <c r="H196" s="366">
        <f t="shared" si="24"/>
        <v>53.075</v>
      </c>
      <c r="I196" s="366">
        <f t="shared" si="24"/>
        <v>55.9875</v>
      </c>
      <c r="J196" s="367"/>
      <c r="K196" s="368">
        <f t="shared" si="23"/>
        <v>42.3125</v>
      </c>
    </row>
    <row r="197" spans="1:7" ht="21" customHeight="1">
      <c r="A197" s="22"/>
      <c r="B197" s="22"/>
      <c r="C197" s="22"/>
      <c r="D197" s="22"/>
      <c r="E197" s="22"/>
      <c r="G197" s="299" t="s">
        <v>214</v>
      </c>
    </row>
    <row r="198" spans="1:5" ht="21.75" customHeight="1">
      <c r="A198" s="22"/>
      <c r="B198" s="22"/>
      <c r="C198" s="134" t="s">
        <v>143</v>
      </c>
      <c r="D198" s="231">
        <v>28</v>
      </c>
      <c r="E198" s="113" t="s">
        <v>144</v>
      </c>
    </row>
    <row r="199" spans="1:10" ht="14.25" customHeight="1">
      <c r="A199" s="22"/>
      <c r="B199" s="22"/>
      <c r="C199" s="133" t="s">
        <v>145</v>
      </c>
      <c r="D199" s="115" t="s">
        <v>146</v>
      </c>
      <c r="E199" s="116">
        <v>40</v>
      </c>
      <c r="F199" s="117">
        <v>40</v>
      </c>
      <c r="G199" s="117">
        <v>40</v>
      </c>
      <c r="H199" s="117">
        <v>35</v>
      </c>
      <c r="I199" s="117">
        <v>35</v>
      </c>
      <c r="J199" s="289"/>
    </row>
    <row r="200" spans="1:10" ht="12.75">
      <c r="A200" s="22"/>
      <c r="B200" s="105"/>
      <c r="C200" s="133" t="s">
        <v>147</v>
      </c>
      <c r="D200" s="118" t="s">
        <v>140</v>
      </c>
      <c r="E200" s="119">
        <f>$D$103*8/($D198/E199+E$95)</f>
        <v>5</v>
      </c>
      <c r="F200" s="119">
        <f>$D$103*8/($D198/F199+F$95)</f>
        <v>2.5</v>
      </c>
      <c r="G200" s="119">
        <f>$D$103*8/($D198/G199+G$95)</f>
        <v>3.80952380952381</v>
      </c>
      <c r="H200" s="119">
        <f>$D$103*8/($D198/H199+H$95)</f>
        <v>2.2857142857142856</v>
      </c>
      <c r="I200" s="119">
        <f>$D$103*8/($D198/I199+I$95)</f>
        <v>2.580645161290323</v>
      </c>
      <c r="J200" s="290"/>
    </row>
    <row r="201" spans="1:10" ht="12.75">
      <c r="A201" s="22"/>
      <c r="B201" s="105"/>
      <c r="C201" s="133"/>
      <c r="D201" s="118" t="s">
        <v>568</v>
      </c>
      <c r="E201" s="119">
        <f>$D$103*8/($D198/E199+E$96)</f>
        <v>4.705882352941177</v>
      </c>
      <c r="F201" s="119">
        <f>$D$103*8/($D198/F199+F$96)</f>
        <v>2.162162162162162</v>
      </c>
      <c r="G201" s="119">
        <f>$D$103*8/($D198/G199+G$96)</f>
        <v>3.3333333333333335</v>
      </c>
      <c r="H201" s="119">
        <f>$D$103*8/($D198/H199+H$96)</f>
        <v>1.9512195121951221</v>
      </c>
      <c r="I201" s="119">
        <f>$D$103*8/($D198/I199+I$96)</f>
        <v>2.2857142857142856</v>
      </c>
      <c r="J201" s="290"/>
    </row>
    <row r="202" spans="1:10" ht="12.75">
      <c r="A202" s="22"/>
      <c r="B202" s="105"/>
      <c r="C202" s="133"/>
      <c r="D202" s="778" t="s">
        <v>615</v>
      </c>
      <c r="E202" s="119">
        <f>$D$103*8/($D198/E199+E$97)</f>
        <v>6.153846153846155</v>
      </c>
      <c r="F202" s="119">
        <f>$D$103*8/($D198/F199+F$97)</f>
        <v>5.333333333333333</v>
      </c>
      <c r="G202" s="119">
        <f>$D$103*8/($D198/G199+G$97)</f>
        <v>5.333333333333333</v>
      </c>
      <c r="H202" s="119">
        <f>$D$103*8/($D198/H199+H$97)</f>
        <v>4.705882352941176</v>
      </c>
      <c r="I202" s="119">
        <f>$D$103*8/($D198/I199+I$97)</f>
        <v>5</v>
      </c>
      <c r="J202" s="290"/>
    </row>
    <row r="203" spans="1:10" ht="12.75">
      <c r="A203" s="22"/>
      <c r="B203" s="105"/>
      <c r="C203" s="133"/>
      <c r="D203" s="118" t="s">
        <v>141</v>
      </c>
      <c r="E203" s="119"/>
      <c r="F203" s="120">
        <f>$D$103*8/($D198/F199+F$98)</f>
        <v>4.444444444444445</v>
      </c>
      <c r="G203" s="120">
        <f>$D$103*8/($D198/G199+G$98)</f>
        <v>5.333333333333333</v>
      </c>
      <c r="H203" s="120">
        <f>$D$103*8/($D198/H199+H$98)</f>
        <v>4.2105263157894735</v>
      </c>
      <c r="I203" s="120">
        <f>$D$103*8/($D198/I199+I$98)</f>
        <v>4.2105263157894735</v>
      </c>
      <c r="J203" s="290"/>
    </row>
    <row r="204" spans="1:10" ht="12.75">
      <c r="A204" s="22"/>
      <c r="B204" s="105"/>
      <c r="C204" s="133"/>
      <c r="D204" s="118" t="s">
        <v>643</v>
      </c>
      <c r="E204" s="119"/>
      <c r="F204" s="120">
        <f>$D$103*8/($D$198/F$199+F$99)</f>
        <v>4.444444444444445</v>
      </c>
      <c r="G204" s="120">
        <f>$D$103*8/($D$198/G$199+G$99)</f>
        <v>5.333333333333333</v>
      </c>
      <c r="H204" s="120">
        <f>$D$103*8/($D$198/H$199+H$99)</f>
        <v>4</v>
      </c>
      <c r="I204" s="120">
        <f>$D$103*8/($D$198/I$199+I$99)</f>
        <v>4.2105263157894735</v>
      </c>
      <c r="J204" s="290"/>
    </row>
    <row r="205" spans="1:10" ht="12.75">
      <c r="A205" s="22"/>
      <c r="B205" s="105"/>
      <c r="C205" s="133"/>
      <c r="D205" s="118" t="s">
        <v>652</v>
      </c>
      <c r="E205" s="119"/>
      <c r="F205" s="120">
        <f>$D$103*8/($D$198/F$199+F$100)</f>
        <v>4.444444444444445</v>
      </c>
      <c r="G205" s="120">
        <f>$D$103*8/($D$198/G$199+G$100)</f>
        <v>5.333333333333333</v>
      </c>
      <c r="H205" s="120">
        <f>$D$103*8/($D$198/H$199+H$100)</f>
        <v>4.2105263157894735</v>
      </c>
      <c r="I205" s="120">
        <f>$D$103*8/($D$198/I$199+I$100)</f>
        <v>4.2105263157894735</v>
      </c>
      <c r="J205" s="290"/>
    </row>
    <row r="206" spans="1:10" ht="12.75">
      <c r="A206" s="22"/>
      <c r="B206" s="105"/>
      <c r="C206" s="133" t="s">
        <v>148</v>
      </c>
      <c r="D206" s="118" t="s">
        <v>140</v>
      </c>
      <c r="E206" s="121">
        <f>+E200*$D198*250</f>
        <v>35000</v>
      </c>
      <c r="F206" s="36">
        <f>+F200*$D198*250</f>
        <v>17500</v>
      </c>
      <c r="G206" s="36">
        <f>+G200*$D198*250</f>
        <v>26666.66666666667</v>
      </c>
      <c r="H206" s="36">
        <f>+H200*$D198*250</f>
        <v>16000</v>
      </c>
      <c r="I206" s="36">
        <f>+I200*$D198*250</f>
        <v>18064.51612903226</v>
      </c>
      <c r="J206" s="129"/>
    </row>
    <row r="207" spans="1:10" ht="12.75">
      <c r="A207" s="22"/>
      <c r="B207" s="105"/>
      <c r="C207" s="133"/>
      <c r="D207" s="118" t="s">
        <v>568</v>
      </c>
      <c r="E207" s="121">
        <f>+E201*$D198*250</f>
        <v>32941.17647058824</v>
      </c>
      <c r="F207" s="121">
        <f>+F201*$D198*250</f>
        <v>15135.135135135133</v>
      </c>
      <c r="G207" s="121">
        <f>+G201*$D198*250</f>
        <v>23333.333333333336</v>
      </c>
      <c r="H207" s="121">
        <f>+H201*$D198*250</f>
        <v>13658.536585365855</v>
      </c>
      <c r="I207" s="121">
        <f>+I201*$D198*250</f>
        <v>16000</v>
      </c>
      <c r="J207" s="129"/>
    </row>
    <row r="208" spans="1:10" ht="12.75" customHeight="1">
      <c r="A208" s="22"/>
      <c r="B208" s="105"/>
      <c r="C208" s="133"/>
      <c r="D208" s="778" t="s">
        <v>615</v>
      </c>
      <c r="E208" s="121">
        <f>+E202*$D198*250</f>
        <v>43076.923076923085</v>
      </c>
      <c r="F208" s="121">
        <f>+F202*$D198*250</f>
        <v>37333.33333333333</v>
      </c>
      <c r="G208" s="121">
        <f>+G202*$D198*250</f>
        <v>37333.33333333333</v>
      </c>
      <c r="H208" s="121">
        <f>+H202*$D198*250</f>
        <v>32941.17647058823</v>
      </c>
      <c r="I208" s="121">
        <f>+I202*$D198*250</f>
        <v>35000</v>
      </c>
      <c r="J208" s="129"/>
    </row>
    <row r="209" spans="1:10" ht="12.75" customHeight="1">
      <c r="A209" s="22"/>
      <c r="B209" s="105"/>
      <c r="C209" s="133"/>
      <c r="D209" s="118" t="s">
        <v>141</v>
      </c>
      <c r="E209" s="122"/>
      <c r="F209" s="36">
        <f>+F203*$D198*250</f>
        <v>31111.111111111113</v>
      </c>
      <c r="G209" s="36">
        <f>+G203*$D198*250</f>
        <v>37333.33333333333</v>
      </c>
      <c r="H209" s="36">
        <f>+H203*$D198*250</f>
        <v>29473.684210526317</v>
      </c>
      <c r="I209" s="36">
        <f>+I203*$D198*250</f>
        <v>29473.684210526317</v>
      </c>
      <c r="J209" s="129"/>
    </row>
    <row r="210" spans="1:10" ht="12.75" customHeight="1">
      <c r="A210" s="22"/>
      <c r="B210" s="105"/>
      <c r="C210" s="133"/>
      <c r="D210" s="118" t="s">
        <v>643</v>
      </c>
      <c r="E210" s="122"/>
      <c r="F210" s="36">
        <f>+F204*$D$198*250</f>
        <v>31111.111111111113</v>
      </c>
      <c r="G210" s="36">
        <f aca="true" t="shared" si="25" ref="G210:I211">+G204*$D$198*250</f>
        <v>37333.33333333333</v>
      </c>
      <c r="H210" s="36">
        <f t="shared" si="25"/>
        <v>28000</v>
      </c>
      <c r="I210" s="36">
        <f t="shared" si="25"/>
        <v>29473.684210526317</v>
      </c>
      <c r="J210" s="129"/>
    </row>
    <row r="211" spans="1:10" ht="12.75" customHeight="1">
      <c r="A211" s="22"/>
      <c r="B211" s="105"/>
      <c r="C211" s="133"/>
      <c r="D211" s="118" t="s">
        <v>652</v>
      </c>
      <c r="E211" s="292"/>
      <c r="F211" s="36">
        <f>+F205*$D$198*250</f>
        <v>31111.111111111113</v>
      </c>
      <c r="G211" s="36">
        <f t="shared" si="25"/>
        <v>37333.33333333333</v>
      </c>
      <c r="H211" s="36">
        <f t="shared" si="25"/>
        <v>29473.684210526317</v>
      </c>
      <c r="I211" s="36">
        <f t="shared" si="25"/>
        <v>29473.684210526317</v>
      </c>
      <c r="J211" s="129"/>
    </row>
    <row r="212" spans="1:12" ht="12.75">
      <c r="A212" s="22"/>
      <c r="B212" s="105"/>
      <c r="C212" s="133" t="s">
        <v>149</v>
      </c>
      <c r="D212" s="118" t="s">
        <v>140</v>
      </c>
      <c r="E212" s="124">
        <f aca="true" t="shared" si="26" ref="E212:I214">+E206*E$59</f>
        <v>31316.249999999996</v>
      </c>
      <c r="F212" s="125">
        <f t="shared" si="26"/>
        <v>22645</v>
      </c>
      <c r="G212" s="125">
        <f t="shared" si="26"/>
        <v>34506.66666666667</v>
      </c>
      <c r="H212" s="125">
        <f t="shared" si="26"/>
        <v>26528</v>
      </c>
      <c r="I212" s="125">
        <f t="shared" si="26"/>
        <v>28397.419354838716</v>
      </c>
      <c r="J212" s="285"/>
      <c r="K212" s="1040" t="s">
        <v>240</v>
      </c>
      <c r="L212" s="1040" t="s">
        <v>614</v>
      </c>
    </row>
    <row r="213" spans="1:12" ht="12.75">
      <c r="A213" s="22"/>
      <c r="B213" s="105"/>
      <c r="C213" s="133"/>
      <c r="D213" s="118" t="s">
        <v>568</v>
      </c>
      <c r="E213" s="124">
        <f t="shared" si="26"/>
        <v>29474.117647058825</v>
      </c>
      <c r="F213" s="125">
        <f t="shared" si="26"/>
        <v>19584.864864864863</v>
      </c>
      <c r="G213" s="125">
        <f t="shared" si="26"/>
        <v>30193.333333333336</v>
      </c>
      <c r="H213" s="125">
        <f t="shared" si="26"/>
        <v>22645.853658536587</v>
      </c>
      <c r="I213" s="125">
        <f t="shared" si="26"/>
        <v>25152</v>
      </c>
      <c r="J213" s="285"/>
      <c r="K213" s="1041"/>
      <c r="L213" s="1041"/>
    </row>
    <row r="214" spans="1:12" ht="12.75">
      <c r="A214" s="22"/>
      <c r="B214" s="105"/>
      <c r="C214" s="133"/>
      <c r="D214" s="778" t="s">
        <v>615</v>
      </c>
      <c r="E214" s="124">
        <f t="shared" si="26"/>
        <v>38543.07692307693</v>
      </c>
      <c r="F214" s="124">
        <f t="shared" si="26"/>
        <v>48309.33333333333</v>
      </c>
      <c r="G214" s="124">
        <f t="shared" si="26"/>
        <v>48309.33333333333</v>
      </c>
      <c r="H214" s="124">
        <f t="shared" si="26"/>
        <v>54616.47058823529</v>
      </c>
      <c r="I214" s="124">
        <f t="shared" si="26"/>
        <v>55020</v>
      </c>
      <c r="J214" s="285"/>
      <c r="K214" s="1041"/>
      <c r="L214" s="1041"/>
    </row>
    <row r="215" spans="1:12" ht="12.75">
      <c r="A215" s="22"/>
      <c r="B215" s="105"/>
      <c r="C215" s="133"/>
      <c r="D215" s="118" t="s">
        <v>141</v>
      </c>
      <c r="E215" s="124"/>
      <c r="F215" s="125">
        <f>+F209*F$59</f>
        <v>40257.77777777778</v>
      </c>
      <c r="G215" s="125">
        <f aca="true" t="shared" si="27" ref="G215:I217">+G209*G$59</f>
        <v>48309.33333333333</v>
      </c>
      <c r="H215" s="125">
        <f t="shared" si="27"/>
        <v>48867.36842105263</v>
      </c>
      <c r="I215" s="125">
        <f t="shared" si="27"/>
        <v>46332.631578947374</v>
      </c>
      <c r="J215" s="285"/>
      <c r="K215" s="1041"/>
      <c r="L215" s="1041"/>
    </row>
    <row r="216" spans="1:12" ht="12.75" customHeight="1">
      <c r="A216" s="22"/>
      <c r="B216" s="105"/>
      <c r="C216" s="133"/>
      <c r="D216" s="118" t="s">
        <v>643</v>
      </c>
      <c r="E216" s="124"/>
      <c r="F216" s="125">
        <f>+F210*F$59</f>
        <v>40257.77777777778</v>
      </c>
      <c r="G216" s="125">
        <f t="shared" si="27"/>
        <v>48309.33333333333</v>
      </c>
      <c r="H216" s="125">
        <f t="shared" si="27"/>
        <v>46424</v>
      </c>
      <c r="I216" s="125">
        <f t="shared" si="27"/>
        <v>46332.631578947374</v>
      </c>
      <c r="J216" s="285"/>
      <c r="K216" s="1041"/>
      <c r="L216" s="1041"/>
    </row>
    <row r="217" spans="1:12" ht="12.75" customHeight="1">
      <c r="A217" s="22"/>
      <c r="B217" s="105"/>
      <c r="C217" s="133"/>
      <c r="D217" s="118" t="s">
        <v>652</v>
      </c>
      <c r="E217" s="124"/>
      <c r="F217" s="125">
        <f>+F211*F$59</f>
        <v>40257.77777777778</v>
      </c>
      <c r="G217" s="125">
        <f t="shared" si="27"/>
        <v>48309.33333333333</v>
      </c>
      <c r="H217" s="125">
        <f t="shared" si="27"/>
        <v>48867.36842105263</v>
      </c>
      <c r="I217" s="125">
        <f t="shared" si="27"/>
        <v>46332.631578947374</v>
      </c>
      <c r="J217" s="285"/>
      <c r="K217" s="1042"/>
      <c r="L217" s="1042"/>
    </row>
    <row r="218" spans="1:12" ht="12.75">
      <c r="A218" s="22"/>
      <c r="B218" s="105"/>
      <c r="C218" s="133" t="s">
        <v>150</v>
      </c>
      <c r="D218" s="118" t="s">
        <v>140</v>
      </c>
      <c r="E218" s="124">
        <f aca="true" t="shared" si="28" ref="E218:I220">+E212+$D$103*E$81+E$53</f>
        <v>200922.25</v>
      </c>
      <c r="F218" s="124">
        <f t="shared" si="28"/>
        <v>232321</v>
      </c>
      <c r="G218" s="124">
        <f t="shared" si="28"/>
        <v>243012.6666666667</v>
      </c>
      <c r="H218" s="124">
        <f t="shared" si="28"/>
        <v>268484</v>
      </c>
      <c r="I218" s="124">
        <f t="shared" si="28"/>
        <v>291053.4193548387</v>
      </c>
      <c r="J218" s="285"/>
      <c r="K218" s="303">
        <f aca="true" t="array" ref="K218">SUM(IF((E237:I237=$K237),E218:I218,0))</f>
        <v>232321</v>
      </c>
      <c r="L218" s="303">
        <f aca="true" t="shared" si="29" ref="L218:L223">K218*(1+$C$147)</f>
        <v>290401.25</v>
      </c>
    </row>
    <row r="219" spans="1:12" ht="12.75" customHeight="1">
      <c r="A219" s="22"/>
      <c r="B219" s="105"/>
      <c r="C219" s="133"/>
      <c r="D219" s="118" t="s">
        <v>568</v>
      </c>
      <c r="E219" s="124">
        <f t="shared" si="28"/>
        <v>199080.11764705883</v>
      </c>
      <c r="F219" s="124">
        <f t="shared" si="28"/>
        <v>229260.86486486485</v>
      </c>
      <c r="G219" s="124">
        <f t="shared" si="28"/>
        <v>238699.33333333334</v>
      </c>
      <c r="H219" s="124">
        <f t="shared" si="28"/>
        <v>264601.85365853657</v>
      </c>
      <c r="I219" s="124">
        <f t="shared" si="28"/>
        <v>287808</v>
      </c>
      <c r="J219" s="285"/>
      <c r="K219" s="303">
        <f aca="true" t="array" ref="K219">SUM(IF((E238:I238=$K238),E219:I219,0))</f>
        <v>229260.86486486485</v>
      </c>
      <c r="L219" s="303">
        <f t="shared" si="29"/>
        <v>286576.08108108107</v>
      </c>
    </row>
    <row r="220" spans="1:12" ht="12.75">
      <c r="A220" s="22"/>
      <c r="B220" s="105"/>
      <c r="C220" s="133"/>
      <c r="D220" s="778" t="s">
        <v>615</v>
      </c>
      <c r="E220" s="124">
        <f t="shared" si="28"/>
        <v>208149.07692307694</v>
      </c>
      <c r="F220" s="124">
        <f t="shared" si="28"/>
        <v>257985.3333333333</v>
      </c>
      <c r="G220" s="124">
        <f t="shared" si="28"/>
        <v>256815.3333333333</v>
      </c>
      <c r="H220" s="124">
        <f t="shared" si="28"/>
        <v>296572.4705882353</v>
      </c>
      <c r="I220" s="124">
        <f t="shared" si="28"/>
        <v>317676</v>
      </c>
      <c r="J220" s="285"/>
      <c r="K220" s="303">
        <f aca="true" t="array" ref="K220">SUM(IF((E239:I239=$K239),E220:I220,0))</f>
        <v>296572.4705882353</v>
      </c>
      <c r="L220" s="303">
        <f t="shared" si="29"/>
        <v>370715.5882352941</v>
      </c>
    </row>
    <row r="221" spans="1:12" ht="12.75">
      <c r="A221" s="22"/>
      <c r="B221" s="105"/>
      <c r="C221" s="133"/>
      <c r="D221" s="118" t="s">
        <v>141</v>
      </c>
      <c r="E221" s="122"/>
      <c r="F221" s="124">
        <f>+F215+$D$103*F$81+F$53+F$54</f>
        <v>249933.77777777778</v>
      </c>
      <c r="G221" s="124">
        <f aca="true" t="shared" si="30" ref="G221:I223">+G215+$D$103*G$81+G$53+G$54</f>
        <v>256815.3333333333</v>
      </c>
      <c r="H221" s="124">
        <f t="shared" si="30"/>
        <v>290823.36842105264</v>
      </c>
      <c r="I221" s="124">
        <f t="shared" si="30"/>
        <v>308988.63157894736</v>
      </c>
      <c r="J221" s="285"/>
      <c r="K221" s="303">
        <f aca="true" t="array" ref="K221">SUM(IF((E241:I241=$K241),E221:I221,0))</f>
        <v>249933.77777777778</v>
      </c>
      <c r="L221" s="303">
        <f t="shared" si="29"/>
        <v>312417.22222222225</v>
      </c>
    </row>
    <row r="222" spans="1:12" ht="12.75">
      <c r="A222" s="22"/>
      <c r="B222" s="105"/>
      <c r="C222" s="105"/>
      <c r="D222" s="118" t="s">
        <v>643</v>
      </c>
      <c r="E222" s="122"/>
      <c r="F222" s="124">
        <f>+F216+$D$103*F$81+F$53+F$54</f>
        <v>249933.77777777778</v>
      </c>
      <c r="G222" s="124">
        <f t="shared" si="30"/>
        <v>256815.3333333333</v>
      </c>
      <c r="H222" s="124">
        <f t="shared" si="30"/>
        <v>288380</v>
      </c>
      <c r="I222" s="124">
        <f t="shared" si="30"/>
        <v>308988.63157894736</v>
      </c>
      <c r="J222" s="285"/>
      <c r="K222" s="303">
        <f aca="true" t="array" ref="K222">SUM(IF((E242:I242=$K242),E222:I222,0))</f>
        <v>249933.77777777778</v>
      </c>
      <c r="L222" s="303">
        <f t="shared" si="29"/>
        <v>312417.22222222225</v>
      </c>
    </row>
    <row r="223" spans="1:12" ht="12.75">
      <c r="A223" s="22"/>
      <c r="B223" s="105"/>
      <c r="C223" s="105"/>
      <c r="D223" s="118" t="s">
        <v>652</v>
      </c>
      <c r="E223" s="292"/>
      <c r="F223" s="124">
        <f>+F217+$D$103*F$81+F$53+F$54</f>
        <v>249933.77777777778</v>
      </c>
      <c r="G223" s="124">
        <f t="shared" si="30"/>
        <v>256815.3333333333</v>
      </c>
      <c r="H223" s="124">
        <f t="shared" si="30"/>
        <v>290823.36842105264</v>
      </c>
      <c r="I223" s="124">
        <f t="shared" si="30"/>
        <v>308988.63157894736</v>
      </c>
      <c r="J223" s="285"/>
      <c r="K223" s="303">
        <f aca="true" t="array" ref="K223">SUM(IF((E243:I243=$K243),E223:I223,0))</f>
        <v>249933.77777777778</v>
      </c>
      <c r="L223" s="303">
        <f t="shared" si="29"/>
        <v>312417.22222222225</v>
      </c>
    </row>
    <row r="224" spans="1:10" ht="12.75">
      <c r="A224" s="22"/>
      <c r="B224" s="1038" t="s">
        <v>151</v>
      </c>
      <c r="C224" s="1039"/>
      <c r="D224" s="118" t="s">
        <v>140</v>
      </c>
      <c r="E224" s="126">
        <f>+E200*250*E$86</f>
        <v>47500</v>
      </c>
      <c r="F224" s="126">
        <f>+F200*250*F$86</f>
        <v>90000</v>
      </c>
      <c r="G224" s="126">
        <f>+G200*250*G$86</f>
        <v>68571.42857142858</v>
      </c>
      <c r="H224" s="126">
        <f>+H200*250*H$86</f>
        <v>89142.85714285714</v>
      </c>
      <c r="I224" s="126">
        <f>+I200*250*I$86</f>
        <v>85161.29032258065</v>
      </c>
      <c r="J224" s="291"/>
    </row>
    <row r="225" spans="1:10" ht="12.75">
      <c r="A225" s="22"/>
      <c r="B225" s="737"/>
      <c r="C225" s="738"/>
      <c r="D225" s="118" t="s">
        <v>568</v>
      </c>
      <c r="E225" s="126">
        <f>+E201*250*E$87</f>
        <v>37647.05882352941</v>
      </c>
      <c r="F225" s="126">
        <f>+F201*250*F$87</f>
        <v>64864.86486486485</v>
      </c>
      <c r="G225" s="126">
        <f>+G201*250*G$87</f>
        <v>53333.333333333336</v>
      </c>
      <c r="H225" s="126">
        <f>+H201*250*H$87</f>
        <v>65365.853658536595</v>
      </c>
      <c r="I225" s="126">
        <f>+I201*250*I$87</f>
        <v>61714.28571428572</v>
      </c>
      <c r="J225" s="291"/>
    </row>
    <row r="226" spans="1:10" ht="12.75">
      <c r="A226" s="22"/>
      <c r="B226" s="737"/>
      <c r="C226" s="738"/>
      <c r="D226" s="778" t="s">
        <v>615</v>
      </c>
      <c r="E226" s="126">
        <f>+E202*250*E$88</f>
        <v>4615.384615384616</v>
      </c>
      <c r="F226" s="126">
        <f>+F202*250*F$88</f>
        <v>8000</v>
      </c>
      <c r="G226" s="126">
        <f>+G202*250*G$88</f>
        <v>6666.666666666666</v>
      </c>
      <c r="H226" s="126">
        <f>+H202*250*H$88</f>
        <v>9411.764705882351</v>
      </c>
      <c r="I226" s="126">
        <f>+I202*250*I$88</f>
        <v>7500</v>
      </c>
      <c r="J226" s="291"/>
    </row>
    <row r="227" spans="1:10" ht="12.75">
      <c r="A227" s="22"/>
      <c r="B227" s="22"/>
      <c r="C227" s="22"/>
      <c r="D227" s="118" t="s">
        <v>141</v>
      </c>
      <c r="E227" s="126">
        <f>+E203*250*E$91</f>
        <v>0</v>
      </c>
      <c r="F227" s="126">
        <f>+F203*250*F$91</f>
        <v>28888.888888888887</v>
      </c>
      <c r="G227" s="126">
        <f>+G203*250*G$91</f>
        <v>22666.666666666664</v>
      </c>
      <c r="H227" s="126">
        <f>+H203*250*H$91</f>
        <v>30526.31578947368</v>
      </c>
      <c r="I227" s="126">
        <f>+I203*250*I$91</f>
        <v>27368.421052631576</v>
      </c>
      <c r="J227" s="291"/>
    </row>
    <row r="228" spans="1:10" ht="12.75">
      <c r="A228" s="22"/>
      <c r="B228" s="22"/>
      <c r="C228" s="22"/>
      <c r="D228" s="118" t="s">
        <v>643</v>
      </c>
      <c r="E228" s="126">
        <f>+E204*250*E$92</f>
        <v>0</v>
      </c>
      <c r="F228" s="126">
        <f>+F204*250*F$92</f>
        <v>11111.111111111111</v>
      </c>
      <c r="G228" s="126">
        <f>+G204*250*G$92</f>
        <v>8000</v>
      </c>
      <c r="H228" s="126">
        <f>+H204*250*H$92</f>
        <v>12000</v>
      </c>
      <c r="I228" s="126">
        <f>+I204*250*I$92</f>
        <v>10526.315789473683</v>
      </c>
      <c r="J228" s="291"/>
    </row>
    <row r="229" spans="1:10" ht="12.75">
      <c r="A229" s="22"/>
      <c r="B229" s="22"/>
      <c r="C229" s="22"/>
      <c r="D229" s="118" t="s">
        <v>652</v>
      </c>
      <c r="E229" s="126">
        <f>+E205*250*E$92</f>
        <v>0</v>
      </c>
      <c r="F229" s="126">
        <f>+F205*250*F$92</f>
        <v>11111.111111111111</v>
      </c>
      <c r="G229" s="126">
        <f>+G205*250*G$93</f>
        <v>8000</v>
      </c>
      <c r="H229" s="126">
        <f>+H205*250*H$93</f>
        <v>10526.315789473683</v>
      </c>
      <c r="I229" s="126">
        <f>+I205*250*I$93</f>
        <v>10526.315789473683</v>
      </c>
      <c r="J229" s="291"/>
    </row>
    <row r="230" spans="1:10" ht="12.75">
      <c r="A230" s="22"/>
      <c r="B230" s="22"/>
      <c r="C230" s="132" t="s">
        <v>152</v>
      </c>
      <c r="D230" s="118" t="s">
        <v>140</v>
      </c>
      <c r="E230" s="123">
        <f aca="true" t="shared" si="31" ref="E230:I231">ROUND(+E218/E224,2)</f>
        <v>4.23</v>
      </c>
      <c r="F230" s="127">
        <f t="shared" si="31"/>
        <v>2.58</v>
      </c>
      <c r="G230" s="123">
        <f t="shared" si="31"/>
        <v>3.54</v>
      </c>
      <c r="H230" s="123">
        <f t="shared" si="31"/>
        <v>3.01</v>
      </c>
      <c r="I230" s="123">
        <f t="shared" si="31"/>
        <v>3.42</v>
      </c>
      <c r="J230" s="292"/>
    </row>
    <row r="231" spans="1:10" ht="12.75">
      <c r="A231" s="22"/>
      <c r="B231" s="22"/>
      <c r="C231" s="132"/>
      <c r="D231" s="784" t="s">
        <v>568</v>
      </c>
      <c r="E231" s="123">
        <f t="shared" si="31"/>
        <v>5.29</v>
      </c>
      <c r="F231" s="127">
        <f t="shared" si="31"/>
        <v>3.53</v>
      </c>
      <c r="G231" s="123">
        <f t="shared" si="31"/>
        <v>4.48</v>
      </c>
      <c r="H231" s="123">
        <f t="shared" si="31"/>
        <v>4.05</v>
      </c>
      <c r="I231" s="123">
        <f t="shared" si="31"/>
        <v>4.66</v>
      </c>
      <c r="J231" s="292"/>
    </row>
    <row r="232" spans="1:10" ht="12.75">
      <c r="A232" s="22"/>
      <c r="B232" s="22"/>
      <c r="C232" s="5"/>
      <c r="D232" s="783" t="s">
        <v>610</v>
      </c>
      <c r="E232" s="123">
        <f>ROUND(+E220/E226/12,2)</f>
        <v>3.76</v>
      </c>
      <c r="F232" s="123">
        <f>ROUND(+F220/F226/12,2)</f>
        <v>2.69</v>
      </c>
      <c r="G232" s="123">
        <f>ROUND(+G220/G226/12,2)</f>
        <v>3.21</v>
      </c>
      <c r="H232" s="123">
        <f>ROUND(+H220/H226/12,2)</f>
        <v>2.63</v>
      </c>
      <c r="I232" s="123">
        <f>ROUND(+I220/I226/12,2)</f>
        <v>3.53</v>
      </c>
      <c r="J232" s="292"/>
    </row>
    <row r="233" spans="1:10" ht="12.75">
      <c r="A233" s="22"/>
      <c r="B233" s="22"/>
      <c r="C233" s="5"/>
      <c r="D233" s="783" t="s">
        <v>611</v>
      </c>
      <c r="E233" s="123">
        <f>ROUND(+E220/E226/8,2)</f>
        <v>5.64</v>
      </c>
      <c r="F233" s="123">
        <f>ROUND(+F220/F226/8,2)</f>
        <v>4.03</v>
      </c>
      <c r="G233" s="123">
        <f>ROUND(+G220/G226/8,2)</f>
        <v>4.82</v>
      </c>
      <c r="H233" s="123">
        <f>ROUND(+H220/H226/8,2)</f>
        <v>3.94</v>
      </c>
      <c r="I233" s="123">
        <f>ROUND(+I220/I226/8,2)</f>
        <v>5.29</v>
      </c>
      <c r="J233" s="292"/>
    </row>
    <row r="234" spans="1:10" ht="12.75">
      <c r="A234" s="22"/>
      <c r="B234" s="22"/>
      <c r="C234" s="22"/>
      <c r="D234" s="781" t="s">
        <v>141</v>
      </c>
      <c r="E234" s="197"/>
      <c r="F234" s="127">
        <f>ROUND(+F221/F227,2)</f>
        <v>8.65</v>
      </c>
      <c r="G234" s="127">
        <f aca="true" t="shared" si="32" ref="G234:I236">ROUND(+G221/G227,2)</f>
        <v>11.33</v>
      </c>
      <c r="H234" s="127">
        <f t="shared" si="32"/>
        <v>9.53</v>
      </c>
      <c r="I234" s="123">
        <f t="shared" si="32"/>
        <v>11.29</v>
      </c>
      <c r="J234" s="292"/>
    </row>
    <row r="235" spans="1:11" ht="12.75">
      <c r="A235" s="22"/>
      <c r="B235" s="22"/>
      <c r="C235" s="22"/>
      <c r="D235" s="118" t="s">
        <v>643</v>
      </c>
      <c r="E235" s="197"/>
      <c r="F235" s="127">
        <f>ROUND(+F222/F228,2)</f>
        <v>22.49</v>
      </c>
      <c r="G235" s="127">
        <f t="shared" si="32"/>
        <v>32.1</v>
      </c>
      <c r="H235" s="127">
        <f t="shared" si="32"/>
        <v>24.03</v>
      </c>
      <c r="I235" s="123">
        <f t="shared" si="32"/>
        <v>29.35</v>
      </c>
      <c r="J235" s="292"/>
      <c r="K235" s="1035" t="s">
        <v>239</v>
      </c>
    </row>
    <row r="236" spans="1:11" ht="12.75">
      <c r="A236" s="22"/>
      <c r="B236" s="22"/>
      <c r="C236" s="22"/>
      <c r="D236" s="118" t="s">
        <v>652</v>
      </c>
      <c r="E236" s="830"/>
      <c r="F236" s="127">
        <f>ROUND(+F223/F229,2)</f>
        <v>22.49</v>
      </c>
      <c r="G236" s="127">
        <f t="shared" si="32"/>
        <v>32.1</v>
      </c>
      <c r="H236" s="127">
        <f t="shared" si="32"/>
        <v>27.63</v>
      </c>
      <c r="I236" s="123">
        <f t="shared" si="32"/>
        <v>29.35</v>
      </c>
      <c r="J236" s="292"/>
      <c r="K236" s="1036"/>
    </row>
    <row r="237" spans="1:11" ht="15.75">
      <c r="A237" s="22"/>
      <c r="B237" s="1037" t="s">
        <v>237</v>
      </c>
      <c r="C237" s="297"/>
      <c r="D237" s="118" t="s">
        <v>140</v>
      </c>
      <c r="E237" s="366">
        <f aca="true" t="shared" si="33" ref="E237:I240">+E230*(1+$C$147)</f>
        <v>5.2875000000000005</v>
      </c>
      <c r="F237" s="366">
        <f t="shared" si="33"/>
        <v>3.225</v>
      </c>
      <c r="G237" s="366">
        <f t="shared" si="33"/>
        <v>4.425</v>
      </c>
      <c r="H237" s="366">
        <f t="shared" si="33"/>
        <v>3.7624999999999997</v>
      </c>
      <c r="I237" s="366">
        <f t="shared" si="33"/>
        <v>4.275</v>
      </c>
      <c r="J237" s="367"/>
      <c r="K237" s="368">
        <f aca="true" t="shared" si="34" ref="K237:K243">MIN(E237:I237)</f>
        <v>3.225</v>
      </c>
    </row>
    <row r="238" spans="1:11" ht="15.75">
      <c r="A238" s="22"/>
      <c r="B238" s="1037"/>
      <c r="C238" s="739"/>
      <c r="D238" s="780" t="s">
        <v>568</v>
      </c>
      <c r="E238" s="779">
        <f t="shared" si="33"/>
        <v>6.6125</v>
      </c>
      <c r="F238" s="779">
        <f t="shared" si="33"/>
        <v>4.4125</v>
      </c>
      <c r="G238" s="779">
        <f t="shared" si="33"/>
        <v>5.6000000000000005</v>
      </c>
      <c r="H238" s="779">
        <f t="shared" si="33"/>
        <v>5.0625</v>
      </c>
      <c r="I238" s="779">
        <f t="shared" si="33"/>
        <v>5.825</v>
      </c>
      <c r="J238" s="367"/>
      <c r="K238" s="368">
        <f t="shared" si="34"/>
        <v>4.4125</v>
      </c>
    </row>
    <row r="239" spans="1:11" ht="15.75">
      <c r="A239" s="22"/>
      <c r="B239" s="1037"/>
      <c r="C239" s="782"/>
      <c r="D239" s="783" t="s">
        <v>610</v>
      </c>
      <c r="E239" s="779">
        <f t="shared" si="33"/>
        <v>4.699999999999999</v>
      </c>
      <c r="F239" s="779">
        <f t="shared" si="33"/>
        <v>3.3625</v>
      </c>
      <c r="G239" s="779">
        <f t="shared" si="33"/>
        <v>4.0125</v>
      </c>
      <c r="H239" s="779">
        <f t="shared" si="33"/>
        <v>3.2874999999999996</v>
      </c>
      <c r="I239" s="779">
        <f t="shared" si="33"/>
        <v>4.4125</v>
      </c>
      <c r="J239" s="367"/>
      <c r="K239" s="368">
        <f t="shared" si="34"/>
        <v>3.2874999999999996</v>
      </c>
    </row>
    <row r="240" spans="1:11" ht="15" customHeight="1">
      <c r="A240" s="22"/>
      <c r="B240" s="1037"/>
      <c r="C240" s="782"/>
      <c r="D240" s="783" t="s">
        <v>611</v>
      </c>
      <c r="E240" s="779">
        <f t="shared" si="33"/>
        <v>7.05</v>
      </c>
      <c r="F240" s="779">
        <f t="shared" si="33"/>
        <v>5.0375000000000005</v>
      </c>
      <c r="G240" s="779">
        <f t="shared" si="33"/>
        <v>6.025</v>
      </c>
      <c r="H240" s="779">
        <f t="shared" si="33"/>
        <v>4.925</v>
      </c>
      <c r="I240" s="779">
        <f t="shared" si="33"/>
        <v>6.6125</v>
      </c>
      <c r="J240" s="367"/>
      <c r="K240" s="368">
        <f t="shared" si="34"/>
        <v>4.925</v>
      </c>
    </row>
    <row r="241" spans="1:11" ht="15" customHeight="1">
      <c r="A241" s="22"/>
      <c r="B241" s="1037"/>
      <c r="C241" s="804">
        <f>+$C$147</f>
        <v>0.25</v>
      </c>
      <c r="D241" s="781" t="s">
        <v>141</v>
      </c>
      <c r="E241" s="366"/>
      <c r="F241" s="366">
        <f>+F234*(1+$C$147)</f>
        <v>10.8125</v>
      </c>
      <c r="G241" s="366">
        <f aca="true" t="shared" si="35" ref="G241:I243">+G234*(1+$C$147)</f>
        <v>14.1625</v>
      </c>
      <c r="H241" s="366">
        <f t="shared" si="35"/>
        <v>11.9125</v>
      </c>
      <c r="I241" s="366">
        <f t="shared" si="35"/>
        <v>14.112499999999999</v>
      </c>
      <c r="J241" s="367"/>
      <c r="K241" s="368">
        <f t="shared" si="34"/>
        <v>10.8125</v>
      </c>
    </row>
    <row r="242" spans="1:11" ht="15" customHeight="1">
      <c r="A242" s="22"/>
      <c r="B242" s="1037"/>
      <c r="C242" s="298"/>
      <c r="D242" s="118" t="s">
        <v>643</v>
      </c>
      <c r="E242" s="366"/>
      <c r="F242" s="366">
        <f>+F235*(1+$C$147)</f>
        <v>28.112499999999997</v>
      </c>
      <c r="G242" s="366">
        <f t="shared" si="35"/>
        <v>40.125</v>
      </c>
      <c r="H242" s="366">
        <f t="shared" si="35"/>
        <v>30.0375</v>
      </c>
      <c r="I242" s="366">
        <f t="shared" si="35"/>
        <v>36.6875</v>
      </c>
      <c r="J242" s="367"/>
      <c r="K242" s="368">
        <f t="shared" si="34"/>
        <v>28.112499999999997</v>
      </c>
    </row>
    <row r="243" spans="1:11" ht="15" customHeight="1">
      <c r="A243" s="22"/>
      <c r="B243" s="1037"/>
      <c r="C243" s="5"/>
      <c r="D243" s="118" t="s">
        <v>652</v>
      </c>
      <c r="E243" s="5"/>
      <c r="F243" s="366">
        <f>+F236*(1+$C$147)</f>
        <v>28.112499999999997</v>
      </c>
      <c r="G243" s="366">
        <f t="shared" si="35"/>
        <v>40.125</v>
      </c>
      <c r="H243" s="366">
        <f t="shared" si="35"/>
        <v>34.5375</v>
      </c>
      <c r="I243" s="366">
        <f t="shared" si="35"/>
        <v>36.6875</v>
      </c>
      <c r="K243" s="368">
        <f t="shared" si="34"/>
        <v>28.112499999999997</v>
      </c>
    </row>
    <row r="244" spans="1:7" ht="20.25" customHeight="1">
      <c r="A244" s="22"/>
      <c r="B244" s="22"/>
      <c r="C244" s="22"/>
      <c r="D244" s="22"/>
      <c r="E244" s="22"/>
      <c r="F244" s="128"/>
      <c r="G244" s="299" t="s">
        <v>214</v>
      </c>
    </row>
    <row r="245" spans="1:5" ht="22.5" customHeight="1">
      <c r="A245" s="22"/>
      <c r="B245" s="22"/>
      <c r="C245" s="134" t="s">
        <v>143</v>
      </c>
      <c r="D245" s="231">
        <v>15</v>
      </c>
      <c r="E245" s="113" t="s">
        <v>144</v>
      </c>
    </row>
    <row r="246" spans="1:10" ht="15" customHeight="1">
      <c r="A246" s="22"/>
      <c r="B246" s="22"/>
      <c r="C246" s="133" t="s">
        <v>145</v>
      </c>
      <c r="D246" s="115" t="s">
        <v>146</v>
      </c>
      <c r="E246" s="116">
        <v>40</v>
      </c>
      <c r="F246" s="117">
        <v>40</v>
      </c>
      <c r="G246" s="117">
        <v>40</v>
      </c>
      <c r="H246" s="117">
        <v>35</v>
      </c>
      <c r="I246" s="117">
        <v>35</v>
      </c>
      <c r="J246" s="289"/>
    </row>
    <row r="247" spans="1:10" ht="12.75">
      <c r="A247" s="22"/>
      <c r="B247" s="105"/>
      <c r="C247" s="133" t="s">
        <v>147</v>
      </c>
      <c r="D247" s="118" t="s">
        <v>140</v>
      </c>
      <c r="E247" s="119">
        <f>$D$103*8/($D245/E246+E$95)</f>
        <v>6.274509803921569</v>
      </c>
      <c r="F247" s="119">
        <f>$D$103*8/($D245/F246+F$95)</f>
        <v>2.782608695652174</v>
      </c>
      <c r="G247" s="119">
        <f>$D$103*8/($D245/G246+G$95)</f>
        <v>4.507042253521127</v>
      </c>
      <c r="H247" s="119">
        <f>$D$103*8/($D245/H246+H$95)</f>
        <v>2.557077625570776</v>
      </c>
      <c r="I247" s="119">
        <f>$D$103*8/($D245/I246+I$95)</f>
        <v>2.9319371727748695</v>
      </c>
      <c r="J247" s="290"/>
    </row>
    <row r="248" spans="1:10" ht="12.75">
      <c r="A248" s="22"/>
      <c r="B248" s="105"/>
      <c r="C248" s="133"/>
      <c r="D248" s="118" t="s">
        <v>568</v>
      </c>
      <c r="E248" s="119">
        <f>$D$103*8/($D245/E246+E$96)</f>
        <v>5.818181818181818</v>
      </c>
      <c r="F248" s="119">
        <f>$D$103*8/($D245/F246+F$96)</f>
        <v>2.3703703703703702</v>
      </c>
      <c r="G248" s="119">
        <f>$D$103*8/($D245/G246+G$96)</f>
        <v>3.8554216867469875</v>
      </c>
      <c r="H248" s="119">
        <f>$D$103*8/($D245/H246+H$96)</f>
        <v>2.145593869731801</v>
      </c>
      <c r="I248" s="119">
        <f>$D$103*8/($D245/I246+I$96)</f>
        <v>2.557077625570776</v>
      </c>
      <c r="J248" s="290"/>
    </row>
    <row r="249" spans="1:10" ht="12.75">
      <c r="A249" s="22"/>
      <c r="B249" s="105"/>
      <c r="C249" s="133"/>
      <c r="D249" s="778" t="s">
        <v>615</v>
      </c>
      <c r="E249" s="119">
        <f>$D$103*8/($D245/E246+E$97)</f>
        <v>8.205128205128206</v>
      </c>
      <c r="F249" s="119">
        <f>$D$103*8/($D245/F246+F$97)</f>
        <v>6.808510638297872</v>
      </c>
      <c r="G249" s="119">
        <f>$D$103*8/($D245/G246+G$97)</f>
        <v>6.808510638297872</v>
      </c>
      <c r="H249" s="119">
        <f>$D$103*8/($D245/H246+H$97)</f>
        <v>6.021505376344086</v>
      </c>
      <c r="I249" s="119">
        <f>$D$103*8/($D245/I246+I$97)</f>
        <v>6.511627906976744</v>
      </c>
      <c r="J249" s="290"/>
    </row>
    <row r="250" spans="1:10" ht="12.75">
      <c r="A250" s="22"/>
      <c r="B250" s="105"/>
      <c r="C250" s="133"/>
      <c r="D250" s="118" t="s">
        <v>141</v>
      </c>
      <c r="E250" s="119"/>
      <c r="F250" s="120">
        <f>$D$103*8/($D245/F246+F$98)</f>
        <v>5.423728813559322</v>
      </c>
      <c r="G250" s="120">
        <f>$D$103*8/($D245/G246+G$98)</f>
        <v>6.808510638297872</v>
      </c>
      <c r="H250" s="120">
        <f>$D$103*8/($D245/H246+H$98)</f>
        <v>5.233644859813084</v>
      </c>
      <c r="I250" s="120">
        <f>$D$103*8/($D245/I246+I$98)</f>
        <v>5.233644859813084</v>
      </c>
      <c r="J250" s="290"/>
    </row>
    <row r="251" spans="1:10" ht="12.75">
      <c r="A251" s="22"/>
      <c r="B251" s="105"/>
      <c r="C251" s="133"/>
      <c r="D251" s="118" t="s">
        <v>643</v>
      </c>
      <c r="E251" s="119"/>
      <c r="F251" s="120">
        <f>$D$103*8/($D$245/F$246+F$99)</f>
        <v>5.423728813559322</v>
      </c>
      <c r="G251" s="120">
        <f>$D$103*8/($D$245/G$246+G$99)</f>
        <v>6.808510638297872</v>
      </c>
      <c r="H251" s="120">
        <f>$D$103*8/($D$245/H$246+H$99)</f>
        <v>4.912280701754386</v>
      </c>
      <c r="I251" s="120">
        <f>$D$103*8/($D$245/I$246+I$99)</f>
        <v>5.233644859813084</v>
      </c>
      <c r="J251" s="290"/>
    </row>
    <row r="252" spans="1:10" ht="12.75">
      <c r="A252" s="22"/>
      <c r="B252" s="105"/>
      <c r="C252" s="133"/>
      <c r="D252" s="118" t="s">
        <v>652</v>
      </c>
      <c r="E252" s="119"/>
      <c r="F252" s="120">
        <f>$D$103*8/($D$245/F$246+F$100)</f>
        <v>5.423728813559322</v>
      </c>
      <c r="G252" s="120">
        <f>$D$103*8/($D$245/G$246+G$100)</f>
        <v>6.808510638297872</v>
      </c>
      <c r="H252" s="120">
        <f>$D$103*8/($D$245/H$246+H$100)</f>
        <v>5.233644859813084</v>
      </c>
      <c r="I252" s="120">
        <f>$D$103*8/($D$245/I$246+I$100)</f>
        <v>5.233644859813084</v>
      </c>
      <c r="J252" s="290"/>
    </row>
    <row r="253" spans="1:10" ht="12.75">
      <c r="A253" s="22"/>
      <c r="B253" s="105"/>
      <c r="C253" s="133" t="s">
        <v>148</v>
      </c>
      <c r="D253" s="118" t="s">
        <v>140</v>
      </c>
      <c r="E253" s="121">
        <f>+E247*$D245*250</f>
        <v>23529.411764705885</v>
      </c>
      <c r="F253" s="36">
        <f>+F247*$D245*250</f>
        <v>10434.782608695652</v>
      </c>
      <c r="G253" s="36">
        <f>+G247*$D245*250</f>
        <v>16901.408450704228</v>
      </c>
      <c r="H253" s="36">
        <f>+H247*$D245*250</f>
        <v>9589.04109589041</v>
      </c>
      <c r="I253" s="36">
        <f>+I247*$D245*250</f>
        <v>10994.764397905761</v>
      </c>
      <c r="J253" s="129"/>
    </row>
    <row r="254" spans="1:10" ht="12.75">
      <c r="A254" s="22"/>
      <c r="B254" s="105"/>
      <c r="C254" s="133"/>
      <c r="D254" s="118" t="s">
        <v>568</v>
      </c>
      <c r="E254" s="121">
        <f>+E248*$D245*250</f>
        <v>21818.18181818182</v>
      </c>
      <c r="F254" s="121">
        <f>+F248*$D245*250</f>
        <v>8888.888888888889</v>
      </c>
      <c r="G254" s="121">
        <f>+G248*$D245*250</f>
        <v>14457.831325301204</v>
      </c>
      <c r="H254" s="121">
        <f>+H248*$D245*250</f>
        <v>8045.977011494255</v>
      </c>
      <c r="I254" s="121">
        <f>+I248*$D245*250</f>
        <v>9589.04109589041</v>
      </c>
      <c r="J254" s="129"/>
    </row>
    <row r="255" spans="1:10" ht="12.75">
      <c r="A255" s="22"/>
      <c r="B255" s="105"/>
      <c r="C255" s="133"/>
      <c r="D255" s="778" t="s">
        <v>615</v>
      </c>
      <c r="E255" s="121">
        <f>+E249*$D245*250</f>
        <v>30769.230769230773</v>
      </c>
      <c r="F255" s="121">
        <f>+F249*$D245*250</f>
        <v>25531.91489361702</v>
      </c>
      <c r="G255" s="121">
        <f>+G249*$D245*250</f>
        <v>25531.91489361702</v>
      </c>
      <c r="H255" s="121">
        <f>+H249*$D245*250</f>
        <v>22580.645161290326</v>
      </c>
      <c r="I255" s="121">
        <f>+I249*$D245*250</f>
        <v>24418.60465116279</v>
      </c>
      <c r="J255" s="129"/>
    </row>
    <row r="256" spans="1:10" ht="12.75" customHeight="1">
      <c r="A256" s="22"/>
      <c r="B256" s="105"/>
      <c r="C256" s="133"/>
      <c r="D256" s="118" t="s">
        <v>141</v>
      </c>
      <c r="E256" s="122"/>
      <c r="F256" s="36">
        <f>+F250*$D245*250</f>
        <v>20338.983050847455</v>
      </c>
      <c r="G256" s="36">
        <f>+G250*$D245*250</f>
        <v>25531.91489361702</v>
      </c>
      <c r="H256" s="36">
        <f>+H250*$D245*250</f>
        <v>19626.168224299065</v>
      </c>
      <c r="I256" s="36">
        <f>+I250*$D245*250</f>
        <v>19626.168224299065</v>
      </c>
      <c r="J256" s="129"/>
    </row>
    <row r="257" spans="1:10" ht="12.75" customHeight="1">
      <c r="A257" s="22"/>
      <c r="B257" s="105"/>
      <c r="C257" s="133"/>
      <c r="D257" s="118" t="s">
        <v>643</v>
      </c>
      <c r="E257" s="122"/>
      <c r="F257" s="36">
        <f>+F251*$D$245*250</f>
        <v>20338.983050847455</v>
      </c>
      <c r="G257" s="36">
        <f aca="true" t="shared" si="36" ref="G257:I258">+G251*$D$245*250</f>
        <v>25531.91489361702</v>
      </c>
      <c r="H257" s="36">
        <f t="shared" si="36"/>
        <v>18421.05263157895</v>
      </c>
      <c r="I257" s="36">
        <f t="shared" si="36"/>
        <v>19626.168224299065</v>
      </c>
      <c r="J257" s="129"/>
    </row>
    <row r="258" spans="1:10" ht="12.75" customHeight="1">
      <c r="A258" s="22"/>
      <c r="B258" s="105"/>
      <c r="C258" s="133"/>
      <c r="D258" s="118" t="s">
        <v>652</v>
      </c>
      <c r="E258" s="292"/>
      <c r="F258" s="36">
        <f>+F252*$D$245*250</f>
        <v>20338.983050847455</v>
      </c>
      <c r="G258" s="36">
        <f t="shared" si="36"/>
        <v>25531.91489361702</v>
      </c>
      <c r="H258" s="36">
        <f t="shared" si="36"/>
        <v>19626.168224299065</v>
      </c>
      <c r="I258" s="36">
        <f t="shared" si="36"/>
        <v>19626.168224299065</v>
      </c>
      <c r="J258" s="129"/>
    </row>
    <row r="259" spans="1:12" ht="12.75">
      <c r="A259" s="22"/>
      <c r="B259" s="105"/>
      <c r="C259" s="133" t="s">
        <v>149</v>
      </c>
      <c r="D259" s="118" t="s">
        <v>140</v>
      </c>
      <c r="E259" s="124">
        <f aca="true" t="shared" si="37" ref="E259:I261">+E253*E$59</f>
        <v>21052.941176470587</v>
      </c>
      <c r="F259" s="125">
        <f t="shared" si="37"/>
        <v>13502.608695652174</v>
      </c>
      <c r="G259" s="125">
        <f t="shared" si="37"/>
        <v>21870.422535211273</v>
      </c>
      <c r="H259" s="125">
        <f t="shared" si="37"/>
        <v>15898.6301369863</v>
      </c>
      <c r="I259" s="125">
        <f t="shared" si="37"/>
        <v>17283.769633507858</v>
      </c>
      <c r="J259" s="285"/>
      <c r="K259" s="1040" t="s">
        <v>240</v>
      </c>
      <c r="L259" s="1040" t="s">
        <v>614</v>
      </c>
    </row>
    <row r="260" spans="1:12" ht="12.75">
      <c r="A260" s="22"/>
      <c r="B260" s="105"/>
      <c r="C260" s="133"/>
      <c r="D260" s="118" t="s">
        <v>568</v>
      </c>
      <c r="E260" s="124">
        <f t="shared" si="37"/>
        <v>19521.81818181818</v>
      </c>
      <c r="F260" s="125">
        <f t="shared" si="37"/>
        <v>11502.222222222223</v>
      </c>
      <c r="G260" s="125">
        <f t="shared" si="37"/>
        <v>18708.433734939757</v>
      </c>
      <c r="H260" s="125">
        <f t="shared" si="37"/>
        <v>13340.229885057473</v>
      </c>
      <c r="I260" s="125">
        <f t="shared" si="37"/>
        <v>15073.972602739726</v>
      </c>
      <c r="J260" s="285"/>
      <c r="K260" s="1041"/>
      <c r="L260" s="1041"/>
    </row>
    <row r="261" spans="1:12" ht="12.75">
      <c r="A261" s="22"/>
      <c r="B261" s="105"/>
      <c r="C261" s="133"/>
      <c r="D261" s="778" t="s">
        <v>615</v>
      </c>
      <c r="E261" s="124">
        <f t="shared" si="37"/>
        <v>27530.76923076923</v>
      </c>
      <c r="F261" s="124">
        <f t="shared" si="37"/>
        <v>33038.29787234042</v>
      </c>
      <c r="G261" s="124">
        <f t="shared" si="37"/>
        <v>33038.29787234042</v>
      </c>
      <c r="H261" s="124">
        <f t="shared" si="37"/>
        <v>37438.709677419356</v>
      </c>
      <c r="I261" s="124">
        <f t="shared" si="37"/>
        <v>38386.04651162791</v>
      </c>
      <c r="J261" s="285"/>
      <c r="K261" s="1041"/>
      <c r="L261" s="1041"/>
    </row>
    <row r="262" spans="1:12" ht="12.75">
      <c r="A262" s="22"/>
      <c r="B262" s="105"/>
      <c r="C262" s="133"/>
      <c r="D262" s="118" t="s">
        <v>141</v>
      </c>
      <c r="E262" s="124"/>
      <c r="F262" s="125">
        <f>+F256*F$59</f>
        <v>26318.64406779661</v>
      </c>
      <c r="G262" s="125">
        <f aca="true" t="shared" si="38" ref="G262:I264">+G256*G$59</f>
        <v>33038.29787234042</v>
      </c>
      <c r="H262" s="125">
        <f t="shared" si="38"/>
        <v>32540.186915887847</v>
      </c>
      <c r="I262" s="125">
        <f t="shared" si="38"/>
        <v>30852.33644859813</v>
      </c>
      <c r="J262" s="285"/>
      <c r="K262" s="1041"/>
      <c r="L262" s="1041"/>
    </row>
    <row r="263" spans="1:12" ht="12.75">
      <c r="A263" s="22"/>
      <c r="B263" s="105"/>
      <c r="C263" s="133"/>
      <c r="D263" s="118" t="s">
        <v>643</v>
      </c>
      <c r="E263" s="124"/>
      <c r="F263" s="125">
        <f>+F257*F$59</f>
        <v>26318.64406779661</v>
      </c>
      <c r="G263" s="125">
        <f t="shared" si="38"/>
        <v>33038.29787234042</v>
      </c>
      <c r="H263" s="125">
        <f t="shared" si="38"/>
        <v>30542.105263157897</v>
      </c>
      <c r="I263" s="125">
        <f t="shared" si="38"/>
        <v>30852.33644859813</v>
      </c>
      <c r="J263" s="285"/>
      <c r="K263" s="1041"/>
      <c r="L263" s="1041"/>
    </row>
    <row r="264" spans="1:12" ht="12.75">
      <c r="A264" s="22"/>
      <c r="B264" s="105"/>
      <c r="C264" s="133"/>
      <c r="D264" s="118" t="s">
        <v>652</v>
      </c>
      <c r="E264" s="124"/>
      <c r="F264" s="125">
        <f>+F258*F$59</f>
        <v>26318.64406779661</v>
      </c>
      <c r="G264" s="125">
        <f t="shared" si="38"/>
        <v>33038.29787234042</v>
      </c>
      <c r="H264" s="125">
        <f t="shared" si="38"/>
        <v>32540.186915887847</v>
      </c>
      <c r="I264" s="125">
        <f t="shared" si="38"/>
        <v>30852.33644859813</v>
      </c>
      <c r="J264" s="285"/>
      <c r="K264" s="1042"/>
      <c r="L264" s="1042"/>
    </row>
    <row r="265" spans="1:12" ht="12.75">
      <c r="A265" s="22"/>
      <c r="B265" s="105"/>
      <c r="C265" s="133" t="s">
        <v>150</v>
      </c>
      <c r="D265" s="118" t="s">
        <v>140</v>
      </c>
      <c r="E265" s="124">
        <f aca="true" t="shared" si="39" ref="E265:I267">+E259+$D$103*E$81+E$53</f>
        <v>190658.9411764706</v>
      </c>
      <c r="F265" s="124">
        <f t="shared" si="39"/>
        <v>223178.60869565216</v>
      </c>
      <c r="G265" s="124">
        <f t="shared" si="39"/>
        <v>230376.42253521126</v>
      </c>
      <c r="H265" s="124">
        <f t="shared" si="39"/>
        <v>257854.6301369863</v>
      </c>
      <c r="I265" s="124">
        <f t="shared" si="39"/>
        <v>279939.7696335078</v>
      </c>
      <c r="J265" s="285"/>
      <c r="K265" s="303">
        <f aca="true" t="array" ref="K265">SUM(IF((E284:I284=$K284),E265:I265,0))</f>
        <v>223178.60869565216</v>
      </c>
      <c r="L265" s="303">
        <f aca="true" t="shared" si="40" ref="L265:L270">K265*(1+$C$147)</f>
        <v>278973.2608695652</v>
      </c>
    </row>
    <row r="266" spans="1:12" ht="12.75" customHeight="1">
      <c r="A266" s="22"/>
      <c r="B266" s="105"/>
      <c r="C266" s="133"/>
      <c r="D266" s="118" t="s">
        <v>568</v>
      </c>
      <c r="E266" s="124">
        <f t="shared" si="39"/>
        <v>189127.81818181818</v>
      </c>
      <c r="F266" s="124">
        <f t="shared" si="39"/>
        <v>221178.22222222222</v>
      </c>
      <c r="G266" s="124">
        <f t="shared" si="39"/>
        <v>227214.43373493975</v>
      </c>
      <c r="H266" s="124">
        <f t="shared" si="39"/>
        <v>255296.2298850575</v>
      </c>
      <c r="I266" s="124">
        <f t="shared" si="39"/>
        <v>277729.9726027397</v>
      </c>
      <c r="J266" s="285"/>
      <c r="K266" s="303">
        <f aca="true" t="array" ref="K266">SUM(IF((E285:I285=$K285),E266:I266,0))</f>
        <v>221178.22222222222</v>
      </c>
      <c r="L266" s="303">
        <f t="shared" si="40"/>
        <v>276472.77777777775</v>
      </c>
    </row>
    <row r="267" spans="1:12" ht="12.75">
      <c r="A267" s="22"/>
      <c r="B267" s="105"/>
      <c r="C267" s="133"/>
      <c r="D267" s="778" t="s">
        <v>615</v>
      </c>
      <c r="E267" s="124">
        <f t="shared" si="39"/>
        <v>197136.76923076922</v>
      </c>
      <c r="F267" s="124">
        <f t="shared" si="39"/>
        <v>242714.29787234042</v>
      </c>
      <c r="G267" s="124">
        <f t="shared" si="39"/>
        <v>241544.29787234042</v>
      </c>
      <c r="H267" s="124">
        <f t="shared" si="39"/>
        <v>279394.7096774194</v>
      </c>
      <c r="I267" s="124">
        <f t="shared" si="39"/>
        <v>301042.0465116279</v>
      </c>
      <c r="J267" s="285"/>
      <c r="K267" s="303">
        <f aca="true" t="array" ref="K267">SUM(IF((E286:I286=$K286),E267:I267,0))</f>
        <v>279394.7096774194</v>
      </c>
      <c r="L267" s="303">
        <f t="shared" si="40"/>
        <v>349243.38709677424</v>
      </c>
    </row>
    <row r="268" spans="1:12" ht="12.75">
      <c r="A268" s="22"/>
      <c r="B268" s="105"/>
      <c r="C268" s="133"/>
      <c r="D268" s="118" t="s">
        <v>141</v>
      </c>
      <c r="E268" s="122"/>
      <c r="F268" s="124">
        <f>+F262+$D$103*F$81+F$53+F$54</f>
        <v>235994.64406779662</v>
      </c>
      <c r="G268" s="124">
        <f aca="true" t="shared" si="41" ref="G268:I270">+G262+$D$103*G$81+G$53+G$54</f>
        <v>241544.29787234042</v>
      </c>
      <c r="H268" s="124">
        <f t="shared" si="41"/>
        <v>274496.18691588787</v>
      </c>
      <c r="I268" s="124">
        <f t="shared" si="41"/>
        <v>293508.33644859813</v>
      </c>
      <c r="J268" s="285"/>
      <c r="K268" s="303">
        <f aca="true" t="array" ref="K268">SUM(IF((E288:I288=$K288),E268:I268,0))</f>
        <v>235994.64406779662</v>
      </c>
      <c r="L268" s="303">
        <f t="shared" si="40"/>
        <v>294993.30508474575</v>
      </c>
    </row>
    <row r="269" spans="1:12" ht="12.75">
      <c r="A269" s="22"/>
      <c r="B269" s="105"/>
      <c r="C269" s="105"/>
      <c r="D269" s="118" t="s">
        <v>643</v>
      </c>
      <c r="E269" s="122"/>
      <c r="F269" s="124">
        <f>+F263+$D$103*F$81+F$53+F$54</f>
        <v>235994.64406779662</v>
      </c>
      <c r="G269" s="124">
        <f t="shared" si="41"/>
        <v>241544.29787234042</v>
      </c>
      <c r="H269" s="124">
        <f t="shared" si="41"/>
        <v>272498.10526315786</v>
      </c>
      <c r="I269" s="124">
        <f t="shared" si="41"/>
        <v>293508.33644859813</v>
      </c>
      <c r="J269" s="285"/>
      <c r="K269" s="303">
        <f aca="true" t="array" ref="K269">SUM(IF((E289:I289=$K289),E269:I269,0))</f>
        <v>235994.64406779662</v>
      </c>
      <c r="L269" s="303">
        <f t="shared" si="40"/>
        <v>294993.30508474575</v>
      </c>
    </row>
    <row r="270" spans="1:12" ht="12.75">
      <c r="A270" s="22"/>
      <c r="B270" s="105"/>
      <c r="C270" s="105"/>
      <c r="D270" s="118" t="s">
        <v>652</v>
      </c>
      <c r="E270" s="292"/>
      <c r="F270" s="124">
        <f>+F264+$D$103*F$81+F$53+F$54</f>
        <v>235994.64406779662</v>
      </c>
      <c r="G270" s="124">
        <f t="shared" si="41"/>
        <v>241544.29787234042</v>
      </c>
      <c r="H270" s="124">
        <f t="shared" si="41"/>
        <v>274496.18691588787</v>
      </c>
      <c r="I270" s="124">
        <f t="shared" si="41"/>
        <v>293508.33644859813</v>
      </c>
      <c r="J270" s="285"/>
      <c r="K270" s="303">
        <f aca="true" t="array" ref="K270">SUM(IF((E290:I290=$K290),E270:I270,0))</f>
        <v>235994.64406779662</v>
      </c>
      <c r="L270" s="303">
        <f t="shared" si="40"/>
        <v>294993.30508474575</v>
      </c>
    </row>
    <row r="271" spans="1:10" ht="12.75">
      <c r="A271" s="22"/>
      <c r="B271" s="1038" t="s">
        <v>151</v>
      </c>
      <c r="C271" s="1039"/>
      <c r="D271" s="118" t="s">
        <v>140</v>
      </c>
      <c r="E271" s="126">
        <f>+E247*250*E$86</f>
        <v>59607.84313725491</v>
      </c>
      <c r="F271" s="126">
        <f>+F247*250*F$86</f>
        <v>100173.91304347827</v>
      </c>
      <c r="G271" s="126">
        <f>+G247*250*G$86</f>
        <v>81126.76056338029</v>
      </c>
      <c r="H271" s="126">
        <f>+H247*250*H$86</f>
        <v>99726.02739726026</v>
      </c>
      <c r="I271" s="126">
        <f>+I247*250*I$86</f>
        <v>96753.92670157069</v>
      </c>
      <c r="J271" s="291"/>
    </row>
    <row r="272" spans="1:10" ht="12.75">
      <c r="A272" s="22"/>
      <c r="B272" s="737"/>
      <c r="C272" s="738"/>
      <c r="D272" s="118" t="s">
        <v>568</v>
      </c>
      <c r="E272" s="126">
        <f>+E248*250*E$87</f>
        <v>46545.454545454544</v>
      </c>
      <c r="F272" s="126">
        <f>+F248*250*F$87</f>
        <v>71111.11111111111</v>
      </c>
      <c r="G272" s="126">
        <f>+G248*250*G$87</f>
        <v>61686.7469879518</v>
      </c>
      <c r="H272" s="126">
        <f>+H248*250*H$87</f>
        <v>71877.39463601533</v>
      </c>
      <c r="I272" s="126">
        <f>+I248*250*I$87</f>
        <v>69041.09589041096</v>
      </c>
      <c r="J272" s="291"/>
    </row>
    <row r="273" spans="1:10" ht="12.75">
      <c r="A273" s="22"/>
      <c r="B273" s="737"/>
      <c r="C273" s="738"/>
      <c r="D273" s="778" t="s">
        <v>615</v>
      </c>
      <c r="E273" s="126">
        <f>+E249*250*E$88</f>
        <v>6153.846153846155</v>
      </c>
      <c r="F273" s="126">
        <f>+F249*250*F$88</f>
        <v>10212.765957446809</v>
      </c>
      <c r="G273" s="126">
        <f>+G249*250*G$88</f>
        <v>8510.63829787234</v>
      </c>
      <c r="H273" s="126">
        <f>+H249*250*H$88</f>
        <v>12043.010752688171</v>
      </c>
      <c r="I273" s="126">
        <f>+I249*250*I$88</f>
        <v>9767.441860465116</v>
      </c>
      <c r="J273" s="291"/>
    </row>
    <row r="274" spans="1:10" ht="12.75">
      <c r="A274" s="22"/>
      <c r="B274" s="22"/>
      <c r="C274" s="22"/>
      <c r="D274" s="118" t="s">
        <v>141</v>
      </c>
      <c r="E274" s="126">
        <f>+E250*250*E$91</f>
        <v>0</v>
      </c>
      <c r="F274" s="126">
        <f>+F250*250*F$91</f>
        <v>35254.23728813559</v>
      </c>
      <c r="G274" s="126">
        <f>+G250*250*G$91</f>
        <v>28936.170212765956</v>
      </c>
      <c r="H274" s="126">
        <f>+H250*250*H$91</f>
        <v>37943.925233644855</v>
      </c>
      <c r="I274" s="126">
        <f>+I250*250*I$91</f>
        <v>34018.69158878504</v>
      </c>
      <c r="J274" s="291"/>
    </row>
    <row r="275" spans="1:10" ht="15" customHeight="1">
      <c r="A275" s="22"/>
      <c r="B275" s="22"/>
      <c r="C275" s="22"/>
      <c r="D275" s="118" t="s">
        <v>643</v>
      </c>
      <c r="E275" s="126">
        <f>+E251*250*E$92</f>
        <v>0</v>
      </c>
      <c r="F275" s="126">
        <f>+F251*250*F$92</f>
        <v>13559.322033898305</v>
      </c>
      <c r="G275" s="126">
        <f>+G251*250*G$92</f>
        <v>10212.765957446809</v>
      </c>
      <c r="H275" s="126">
        <f>+H251*250*H$92</f>
        <v>14736.84210526316</v>
      </c>
      <c r="I275" s="126">
        <f>+I251*250*I$92</f>
        <v>13084.11214953271</v>
      </c>
      <c r="J275" s="291"/>
    </row>
    <row r="276" spans="1:10" ht="15" customHeight="1">
      <c r="A276" s="22"/>
      <c r="B276" s="22"/>
      <c r="C276" s="22"/>
      <c r="D276" s="118" t="s">
        <v>652</v>
      </c>
      <c r="E276" s="126">
        <f>+E252*250*E$92</f>
        <v>0</v>
      </c>
      <c r="F276" s="126">
        <f>+F252*250*F$92</f>
        <v>13559.322033898305</v>
      </c>
      <c r="G276" s="126">
        <f>+G252*250*G$93</f>
        <v>10212.765957446809</v>
      </c>
      <c r="H276" s="126">
        <f>+H252*250*H$93</f>
        <v>13084.11214953271</v>
      </c>
      <c r="I276" s="126">
        <f>+I252*250*I$93</f>
        <v>13084.11214953271</v>
      </c>
      <c r="J276" s="291"/>
    </row>
    <row r="277" spans="1:10" ht="15" customHeight="1">
      <c r="A277" s="22"/>
      <c r="B277" s="22"/>
      <c r="C277" s="132" t="s">
        <v>152</v>
      </c>
      <c r="D277" s="118" t="s">
        <v>140</v>
      </c>
      <c r="E277" s="123">
        <f aca="true" t="shared" si="42" ref="E277:I278">ROUND(+E265/E271,2)</f>
        <v>3.2</v>
      </c>
      <c r="F277" s="127">
        <f t="shared" si="42"/>
        <v>2.23</v>
      </c>
      <c r="G277" s="123">
        <f t="shared" si="42"/>
        <v>2.84</v>
      </c>
      <c r="H277" s="123">
        <f t="shared" si="42"/>
        <v>2.59</v>
      </c>
      <c r="I277" s="123">
        <f t="shared" si="42"/>
        <v>2.89</v>
      </c>
      <c r="J277" s="292"/>
    </row>
    <row r="278" spans="1:10" ht="15" customHeight="1">
      <c r="A278" s="22"/>
      <c r="B278" s="22"/>
      <c r="C278" s="132"/>
      <c r="D278" s="784" t="s">
        <v>568</v>
      </c>
      <c r="E278" s="123">
        <f t="shared" si="42"/>
        <v>4.06</v>
      </c>
      <c r="F278" s="127">
        <f t="shared" si="42"/>
        <v>3.11</v>
      </c>
      <c r="G278" s="123">
        <f t="shared" si="42"/>
        <v>3.68</v>
      </c>
      <c r="H278" s="123">
        <f t="shared" si="42"/>
        <v>3.55</v>
      </c>
      <c r="I278" s="123">
        <f t="shared" si="42"/>
        <v>4.02</v>
      </c>
      <c r="J278" s="292"/>
    </row>
    <row r="279" spans="1:10" ht="15" customHeight="1">
      <c r="A279" s="22"/>
      <c r="B279" s="22"/>
      <c r="C279" s="5"/>
      <c r="D279" s="783" t="s">
        <v>610</v>
      </c>
      <c r="E279" s="123">
        <f>ROUND(+E267/E273/12,2)</f>
        <v>2.67</v>
      </c>
      <c r="F279" s="123">
        <f>ROUND(+F267/F273/12,2)</f>
        <v>1.98</v>
      </c>
      <c r="G279" s="123">
        <f>ROUND(+G267/G273/12,2)</f>
        <v>2.37</v>
      </c>
      <c r="H279" s="123">
        <f>ROUND(+H267/H273/12,2)</f>
        <v>1.93</v>
      </c>
      <c r="I279" s="123">
        <f>ROUND(+I267/I273/12,2)</f>
        <v>2.57</v>
      </c>
      <c r="J279" s="292"/>
    </row>
    <row r="280" spans="2:10" ht="15.75" customHeight="1">
      <c r="B280" s="22"/>
      <c r="C280" s="5"/>
      <c r="D280" s="783" t="s">
        <v>611</v>
      </c>
      <c r="E280" s="123">
        <f>ROUND(+E267/E273/8,2)</f>
        <v>4</v>
      </c>
      <c r="F280" s="123">
        <f>ROUND(+F267/F273/8,2)</f>
        <v>2.97</v>
      </c>
      <c r="G280" s="123">
        <f>ROUND(+G267/G273/8,2)</f>
        <v>3.55</v>
      </c>
      <c r="H280" s="123">
        <f>ROUND(+H267/H273/8,2)</f>
        <v>2.9</v>
      </c>
      <c r="I280" s="123">
        <f>ROUND(+I267/I273/8,2)</f>
        <v>3.85</v>
      </c>
      <c r="J280" s="292"/>
    </row>
    <row r="281" spans="2:10" ht="12.75">
      <c r="B281" s="22"/>
      <c r="C281" s="22"/>
      <c r="D281" s="781" t="s">
        <v>141</v>
      </c>
      <c r="E281" s="197"/>
      <c r="F281" s="127">
        <f>ROUND(+F268/F274,2)</f>
        <v>6.69</v>
      </c>
      <c r="G281" s="127">
        <f aca="true" t="shared" si="43" ref="G281:I283">ROUND(+G268/G274,2)</f>
        <v>8.35</v>
      </c>
      <c r="H281" s="127">
        <f t="shared" si="43"/>
        <v>7.23</v>
      </c>
      <c r="I281" s="123">
        <f t="shared" si="43"/>
        <v>8.63</v>
      </c>
      <c r="J281" s="292"/>
    </row>
    <row r="282" spans="2:11" ht="13.5" customHeight="1">
      <c r="B282" s="22"/>
      <c r="C282" s="22"/>
      <c r="D282" s="118" t="s">
        <v>643</v>
      </c>
      <c r="E282" s="197"/>
      <c r="F282" s="127">
        <f>ROUND(+F269/F275,2)</f>
        <v>17.4</v>
      </c>
      <c r="G282" s="127">
        <f t="shared" si="43"/>
        <v>23.65</v>
      </c>
      <c r="H282" s="127">
        <f t="shared" si="43"/>
        <v>18.49</v>
      </c>
      <c r="I282" s="123">
        <f t="shared" si="43"/>
        <v>22.43</v>
      </c>
      <c r="J282" s="292"/>
      <c r="K282" s="1035" t="s">
        <v>239</v>
      </c>
    </row>
    <row r="283" spans="2:11" ht="13.5" customHeight="1">
      <c r="B283" s="22"/>
      <c r="C283" s="22"/>
      <c r="D283" s="118" t="s">
        <v>652</v>
      </c>
      <c r="E283" s="830"/>
      <c r="F283" s="127">
        <f>ROUND(+F270/F276,2)</f>
        <v>17.4</v>
      </c>
      <c r="G283" s="127">
        <f t="shared" si="43"/>
        <v>23.65</v>
      </c>
      <c r="H283" s="127">
        <f t="shared" si="43"/>
        <v>20.98</v>
      </c>
      <c r="I283" s="123">
        <f t="shared" si="43"/>
        <v>22.43</v>
      </c>
      <c r="J283" s="292"/>
      <c r="K283" s="1036"/>
    </row>
    <row r="284" spans="2:11" ht="15.75">
      <c r="B284" s="1043" t="s">
        <v>237</v>
      </c>
      <c r="C284" s="297"/>
      <c r="D284" s="118" t="s">
        <v>140</v>
      </c>
      <c r="E284" s="366">
        <f aca="true" t="shared" si="44" ref="E284:I287">+E277*(1+$C$147)</f>
        <v>4</v>
      </c>
      <c r="F284" s="366">
        <f t="shared" si="44"/>
        <v>2.7875</v>
      </c>
      <c r="G284" s="366">
        <f t="shared" si="44"/>
        <v>3.55</v>
      </c>
      <c r="H284" s="366">
        <f t="shared" si="44"/>
        <v>3.2375</v>
      </c>
      <c r="I284" s="366">
        <f t="shared" si="44"/>
        <v>3.6125000000000003</v>
      </c>
      <c r="J284" s="367"/>
      <c r="K284" s="368">
        <f aca="true" t="shared" si="45" ref="K284:K290">MIN(E284:I284)</f>
        <v>2.7875</v>
      </c>
    </row>
    <row r="285" spans="2:11" ht="15.75">
      <c r="B285" s="1044"/>
      <c r="C285" s="739"/>
      <c r="D285" s="780" t="s">
        <v>568</v>
      </c>
      <c r="E285" s="366">
        <f t="shared" si="44"/>
        <v>5.074999999999999</v>
      </c>
      <c r="F285" s="366">
        <f t="shared" si="44"/>
        <v>3.8874999999999997</v>
      </c>
      <c r="G285" s="366">
        <f t="shared" si="44"/>
        <v>4.6000000000000005</v>
      </c>
      <c r="H285" s="366">
        <f t="shared" si="44"/>
        <v>4.4375</v>
      </c>
      <c r="I285" s="366">
        <f t="shared" si="44"/>
        <v>5.0249999999999995</v>
      </c>
      <c r="J285" s="367"/>
      <c r="K285" s="368">
        <f t="shared" si="45"/>
        <v>3.8874999999999997</v>
      </c>
    </row>
    <row r="286" spans="2:11" ht="15.75">
      <c r="B286" s="1044"/>
      <c r="C286" s="782"/>
      <c r="D286" s="783" t="s">
        <v>610</v>
      </c>
      <c r="E286" s="366">
        <f t="shared" si="44"/>
        <v>3.3375</v>
      </c>
      <c r="F286" s="366">
        <f t="shared" si="44"/>
        <v>2.475</v>
      </c>
      <c r="G286" s="366">
        <f t="shared" si="44"/>
        <v>2.9625000000000004</v>
      </c>
      <c r="H286" s="366">
        <f t="shared" si="44"/>
        <v>2.4125</v>
      </c>
      <c r="I286" s="366">
        <f t="shared" si="44"/>
        <v>3.2125</v>
      </c>
      <c r="J286" s="367"/>
      <c r="K286" s="368">
        <f t="shared" si="45"/>
        <v>2.4125</v>
      </c>
    </row>
    <row r="287" spans="2:11" ht="15.75">
      <c r="B287" s="1044"/>
      <c r="C287" s="782"/>
      <c r="D287" s="783" t="s">
        <v>611</v>
      </c>
      <c r="E287" s="366">
        <f t="shared" si="44"/>
        <v>5</v>
      </c>
      <c r="F287" s="366">
        <f t="shared" si="44"/>
        <v>3.7125000000000004</v>
      </c>
      <c r="G287" s="366">
        <f t="shared" si="44"/>
        <v>4.4375</v>
      </c>
      <c r="H287" s="366">
        <f t="shared" si="44"/>
        <v>3.625</v>
      </c>
      <c r="I287" s="366">
        <f t="shared" si="44"/>
        <v>4.8125</v>
      </c>
      <c r="J287" s="367"/>
      <c r="K287" s="368">
        <f t="shared" si="45"/>
        <v>3.625</v>
      </c>
    </row>
    <row r="288" spans="2:11" ht="15.75">
      <c r="B288" s="1044"/>
      <c r="C288" s="804">
        <f>+$C$147</f>
        <v>0.25</v>
      </c>
      <c r="D288" s="781" t="s">
        <v>141</v>
      </c>
      <c r="E288" s="366"/>
      <c r="F288" s="366">
        <f>+F281*(1+$C$147)</f>
        <v>8.3625</v>
      </c>
      <c r="G288" s="366">
        <f aca="true" t="shared" si="46" ref="G288:I290">+G281*(1+$C$147)</f>
        <v>10.4375</v>
      </c>
      <c r="H288" s="366">
        <f t="shared" si="46"/>
        <v>9.037500000000001</v>
      </c>
      <c r="I288" s="366">
        <f t="shared" si="46"/>
        <v>10.787500000000001</v>
      </c>
      <c r="J288" s="367"/>
      <c r="K288" s="368">
        <f t="shared" si="45"/>
        <v>8.3625</v>
      </c>
    </row>
    <row r="289" spans="2:11" ht="15.75">
      <c r="B289" s="1044"/>
      <c r="C289" s="298"/>
      <c r="D289" s="118" t="s">
        <v>643</v>
      </c>
      <c r="E289" s="366"/>
      <c r="F289" s="366">
        <f>+F282*(1+$C$147)</f>
        <v>21.75</v>
      </c>
      <c r="G289" s="366">
        <f t="shared" si="46"/>
        <v>29.5625</v>
      </c>
      <c r="H289" s="366">
        <f t="shared" si="46"/>
        <v>23.112499999999997</v>
      </c>
      <c r="I289" s="366">
        <f t="shared" si="46"/>
        <v>28.0375</v>
      </c>
      <c r="J289" s="367"/>
      <c r="K289" s="368">
        <f t="shared" si="45"/>
        <v>21.75</v>
      </c>
    </row>
    <row r="290" spans="2:11" ht="15.75">
      <c r="B290" s="1045"/>
      <c r="C290" s="841"/>
      <c r="D290" s="118" t="s">
        <v>652</v>
      </c>
      <c r="E290" s="779"/>
      <c r="F290" s="366">
        <f>+F283*(1+$C$147)</f>
        <v>21.75</v>
      </c>
      <c r="G290" s="366">
        <f t="shared" si="46"/>
        <v>29.5625</v>
      </c>
      <c r="H290" s="366">
        <f t="shared" si="46"/>
        <v>26.225</v>
      </c>
      <c r="I290" s="366">
        <f t="shared" si="46"/>
        <v>28.0375</v>
      </c>
      <c r="J290" s="367"/>
      <c r="K290" s="368">
        <f t="shared" si="45"/>
        <v>21.75</v>
      </c>
    </row>
    <row r="291" spans="2:7" ht="12.75">
      <c r="B291" s="22"/>
      <c r="C291" s="22"/>
      <c r="D291" s="22"/>
      <c r="E291" s="22"/>
      <c r="G291" s="299" t="s">
        <v>214</v>
      </c>
    </row>
  </sheetData>
  <sheetProtection password="C7CA" sheet="1" objects="1" scenarios="1"/>
  <mergeCells count="23">
    <mergeCell ref="L165:L170"/>
    <mergeCell ref="L259:L264"/>
    <mergeCell ref="K235:K236"/>
    <mergeCell ref="L212:L217"/>
    <mergeCell ref="K212:K217"/>
    <mergeCell ref="B1:I1"/>
    <mergeCell ref="B2:I2"/>
    <mergeCell ref="B130:C130"/>
    <mergeCell ref="K86:L93"/>
    <mergeCell ref="K118:K123"/>
    <mergeCell ref="L118:L123"/>
    <mergeCell ref="B284:B290"/>
    <mergeCell ref="K282:K283"/>
    <mergeCell ref="B190:B196"/>
    <mergeCell ref="K188:K189"/>
    <mergeCell ref="B224:C224"/>
    <mergeCell ref="B237:B243"/>
    <mergeCell ref="K259:K264"/>
    <mergeCell ref="K141:K142"/>
    <mergeCell ref="B143:B149"/>
    <mergeCell ref="B271:C271"/>
    <mergeCell ref="B177:C177"/>
    <mergeCell ref="K165:K170"/>
  </mergeCells>
  <conditionalFormatting sqref="E143:I143">
    <cfRule type="cellIs" priority="1" dxfId="4" operator="equal" stopIfTrue="1">
      <formula>$K$143</formula>
    </cfRule>
  </conditionalFormatting>
  <conditionalFormatting sqref="E241 E147:I147 E194 E288">
    <cfRule type="cellIs" priority="2" dxfId="4" operator="equal" stopIfTrue="1">
      <formula>$K$147</formula>
    </cfRule>
  </conditionalFormatting>
  <conditionalFormatting sqref="E242 F148:I148 E195:E196 E148:E149 E289:E290">
    <cfRule type="cellIs" priority="3" dxfId="4" operator="equal" stopIfTrue="1">
      <formula>$K$148</formula>
    </cfRule>
  </conditionalFormatting>
  <conditionalFormatting sqref="E190:I190">
    <cfRule type="cellIs" priority="4" dxfId="4" operator="equal" stopIfTrue="1">
      <formula>$K$190</formula>
    </cfRule>
  </conditionalFormatting>
  <conditionalFormatting sqref="F194:I194">
    <cfRule type="cellIs" priority="5" dxfId="4" operator="equal" stopIfTrue="1">
      <formula>$K$194</formula>
    </cfRule>
  </conditionalFormatting>
  <conditionalFormatting sqref="F195:I195">
    <cfRule type="cellIs" priority="6" dxfId="4" operator="equal" stopIfTrue="1">
      <formula>$K$195</formula>
    </cfRule>
  </conditionalFormatting>
  <conditionalFormatting sqref="E144:I144">
    <cfRule type="cellIs" priority="7" dxfId="4" operator="equal" stopIfTrue="1">
      <formula>$K$144</formula>
    </cfRule>
  </conditionalFormatting>
  <conditionalFormatting sqref="E191:I191">
    <cfRule type="cellIs" priority="8" dxfId="4" operator="equal" stopIfTrue="1">
      <formula>$K$191</formula>
    </cfRule>
  </conditionalFormatting>
  <conditionalFormatting sqref="E145:I145">
    <cfRule type="cellIs" priority="9" dxfId="4" operator="equal" stopIfTrue="1">
      <formula>$K$145</formula>
    </cfRule>
  </conditionalFormatting>
  <conditionalFormatting sqref="E146:I146">
    <cfRule type="cellIs" priority="10" dxfId="4" operator="equal" stopIfTrue="1">
      <formula>$K$146</formula>
    </cfRule>
  </conditionalFormatting>
  <conditionalFormatting sqref="E192:I192">
    <cfRule type="cellIs" priority="11" dxfId="4" operator="equal" stopIfTrue="1">
      <formula>$K$192</formula>
    </cfRule>
  </conditionalFormatting>
  <conditionalFormatting sqref="E193:I193">
    <cfRule type="cellIs" priority="12" dxfId="4" operator="equal" stopIfTrue="1">
      <formula>$K$193</formula>
    </cfRule>
  </conditionalFormatting>
  <conditionalFormatting sqref="E237:I237">
    <cfRule type="cellIs" priority="13" dxfId="4" operator="equal" stopIfTrue="1">
      <formula>$K$237</formula>
    </cfRule>
  </conditionalFormatting>
  <conditionalFormatting sqref="E238:I238">
    <cfRule type="cellIs" priority="14" dxfId="4" operator="equal" stopIfTrue="1">
      <formula>$K$238</formula>
    </cfRule>
  </conditionalFormatting>
  <conditionalFormatting sqref="E239:I239">
    <cfRule type="cellIs" priority="15" dxfId="4" operator="equal" stopIfTrue="1">
      <formula>$K$239</formula>
    </cfRule>
  </conditionalFormatting>
  <conditionalFormatting sqref="E240:I240">
    <cfRule type="cellIs" priority="16" dxfId="4" operator="equal" stopIfTrue="1">
      <formula>$K$240</formula>
    </cfRule>
  </conditionalFormatting>
  <conditionalFormatting sqref="F241:I241">
    <cfRule type="cellIs" priority="17" dxfId="4" operator="equal" stopIfTrue="1">
      <formula>$K$241</formula>
    </cfRule>
  </conditionalFormatting>
  <conditionalFormatting sqref="F242:I242">
    <cfRule type="cellIs" priority="18" dxfId="4" operator="equal" stopIfTrue="1">
      <formula>$K$242</formula>
    </cfRule>
  </conditionalFormatting>
  <conditionalFormatting sqref="E284:I284">
    <cfRule type="cellIs" priority="19" dxfId="4" operator="equal" stopIfTrue="1">
      <formula>$K$284</formula>
    </cfRule>
  </conditionalFormatting>
  <conditionalFormatting sqref="E285:I285">
    <cfRule type="cellIs" priority="20" dxfId="4" operator="equal" stopIfTrue="1">
      <formula>$K$285</formula>
    </cfRule>
  </conditionalFormatting>
  <conditionalFormatting sqref="E286:I286">
    <cfRule type="cellIs" priority="21" dxfId="4" operator="equal" stopIfTrue="1">
      <formula>$K$286</formula>
    </cfRule>
  </conditionalFormatting>
  <conditionalFormatting sqref="E287:I287">
    <cfRule type="cellIs" priority="22" dxfId="4" operator="equal" stopIfTrue="1">
      <formula>$K$287</formula>
    </cfRule>
  </conditionalFormatting>
  <conditionalFormatting sqref="F288:I288">
    <cfRule type="cellIs" priority="23" dxfId="4" operator="equal" stopIfTrue="1">
      <formula>$K$288</formula>
    </cfRule>
  </conditionalFormatting>
  <conditionalFormatting sqref="F289:I289">
    <cfRule type="cellIs" priority="24" dxfId="4" operator="equal" stopIfTrue="1">
      <formula>$K$289</formula>
    </cfRule>
  </conditionalFormatting>
  <conditionalFormatting sqref="F149:I149 F196:I196 F243:I243 F290:I290">
    <cfRule type="cellIs" priority="25" dxfId="4" operator="equal" stopIfTrue="1">
      <formula>$K149</formula>
    </cfRule>
  </conditionalFormatting>
  <printOptions/>
  <pageMargins left="1.88" right="0.75" top="0.75" bottom="0.79" header="0.5" footer="0.5"/>
  <pageSetup fitToHeight="1" fitToWidth="1" horizontalDpi="300" verticalDpi="300" orientation="portrait" paperSize="8" scale="26" r:id="rId2"/>
  <headerFooter alignWithMargins="0">
    <oddFooter>&amp;L&amp;"Arial,Bold"&amp;8&amp;F &amp;D &amp;T</oddFooter>
  </headerFooter>
  <drawing r:id="rId1"/>
</worksheet>
</file>

<file path=xl/worksheets/sheet7.xml><?xml version="1.0" encoding="utf-8"?>
<worksheet xmlns="http://schemas.openxmlformats.org/spreadsheetml/2006/main" xmlns:r="http://schemas.openxmlformats.org/officeDocument/2006/relationships">
  <sheetPr codeName="Sheet13"/>
  <dimension ref="A1:L203"/>
  <sheetViews>
    <sheetView workbookViewId="0" topLeftCell="A1">
      <selection activeCell="A1" sqref="A1"/>
    </sheetView>
  </sheetViews>
  <sheetFormatPr defaultColWidth="9.140625" defaultRowHeight="12.75"/>
  <cols>
    <col min="1" max="1" width="9.00390625" style="0" customWidth="1"/>
    <col min="2" max="11" width="12.7109375" style="0" customWidth="1"/>
    <col min="12" max="12" width="9.00390625" style="0" customWidth="1"/>
  </cols>
  <sheetData>
    <row r="1" spans="1:12" ht="16.5" thickBot="1">
      <c r="A1" s="309"/>
      <c r="B1" s="1046" t="s">
        <v>83</v>
      </c>
      <c r="C1" s="1046"/>
      <c r="D1" s="1046"/>
      <c r="E1" s="1046"/>
      <c r="F1" s="1046"/>
      <c r="G1" s="1046"/>
      <c r="H1" s="1046"/>
      <c r="I1" s="1046"/>
      <c r="J1" s="1046"/>
      <c r="K1" s="1046"/>
      <c r="L1" s="311"/>
    </row>
    <row r="2" spans="1:12" ht="24.75" thickBot="1" thickTop="1">
      <c r="A2" s="309"/>
      <c r="B2" s="1047" t="s">
        <v>507</v>
      </c>
      <c r="C2" s="1048"/>
      <c r="D2" s="1048"/>
      <c r="E2" s="1048"/>
      <c r="F2" s="1048"/>
      <c r="G2" s="1048"/>
      <c r="H2" s="1048"/>
      <c r="I2" s="1048"/>
      <c r="J2" s="1048"/>
      <c r="K2" s="1049"/>
      <c r="L2" s="311"/>
    </row>
    <row r="3" spans="1:12" ht="16.5" thickTop="1">
      <c r="A3" s="309"/>
      <c r="B3" s="309"/>
      <c r="C3" s="309"/>
      <c r="D3" s="309"/>
      <c r="E3" s="309"/>
      <c r="F3" s="309"/>
      <c r="G3" s="309"/>
      <c r="H3" s="309"/>
      <c r="I3" s="309"/>
      <c r="J3" s="309"/>
      <c r="K3" s="311"/>
      <c r="L3" s="311"/>
    </row>
    <row r="6" ht="23.25">
      <c r="A6" s="731" t="s">
        <v>508</v>
      </c>
    </row>
    <row r="58" ht="23.25">
      <c r="A58" s="731" t="s">
        <v>509</v>
      </c>
    </row>
    <row r="165" spans="4:7" ht="29.25" customHeight="1">
      <c r="D165" s="732" t="s">
        <v>510</v>
      </c>
      <c r="E165" s="1040" t="s">
        <v>511</v>
      </c>
      <c r="F165" s="962" t="s">
        <v>512</v>
      </c>
      <c r="G165" s="962" t="s">
        <v>513</v>
      </c>
    </row>
    <row r="166" spans="4:7" ht="18.75" customHeight="1">
      <c r="D166" s="4">
        <v>50</v>
      </c>
      <c r="E166" s="1042"/>
      <c r="F166" s="962"/>
      <c r="G166" s="962"/>
    </row>
    <row r="167" spans="5:7" ht="12.75">
      <c r="E167" s="145">
        <v>1</v>
      </c>
      <c r="F167" s="733">
        <f>D$166*(1.78-0.418*LN(E167))</f>
        <v>89</v>
      </c>
      <c r="G167" s="733">
        <v>80</v>
      </c>
    </row>
    <row r="168" spans="5:7" ht="12.75">
      <c r="E168" s="145">
        <v>3</v>
      </c>
      <c r="F168" s="733">
        <f>D$166*(1.78-0.418*LN(E168))</f>
        <v>66.03900316683651</v>
      </c>
      <c r="G168" s="733">
        <v>57</v>
      </c>
    </row>
    <row r="169" spans="5:7" ht="12.75">
      <c r="E169" s="145">
        <v>10</v>
      </c>
      <c r="F169" s="733">
        <f>D$166*(1.78-0.418*LN(E169))</f>
        <v>40.875971556424446</v>
      </c>
      <c r="G169" s="733">
        <v>28</v>
      </c>
    </row>
    <row r="170" spans="5:7" ht="12.75">
      <c r="E170" s="145">
        <v>20</v>
      </c>
      <c r="F170" s="733">
        <f>D$166*(1.78-0.418*LN(E170))</f>
        <v>26.389195482721593</v>
      </c>
      <c r="G170" s="733">
        <v>15</v>
      </c>
    </row>
    <row r="198" spans="6:7" ht="12.75">
      <c r="F198" s="1040" t="s">
        <v>511</v>
      </c>
      <c r="G198" s="962" t="s">
        <v>512</v>
      </c>
    </row>
    <row r="199" spans="6:7" ht="26.25" customHeight="1">
      <c r="F199" s="1042"/>
      <c r="G199" s="962"/>
    </row>
    <row r="200" spans="4:7" ht="15.75" customHeight="1">
      <c r="D200" s="469" t="s">
        <v>514</v>
      </c>
      <c r="E200" s="734">
        <v>50</v>
      </c>
      <c r="F200" s="145">
        <v>1</v>
      </c>
      <c r="G200" s="733">
        <f>E$200*(1.78-0.418*LN(F200))</f>
        <v>89</v>
      </c>
    </row>
    <row r="201" spans="5:7" ht="12.75">
      <c r="E201" s="52"/>
      <c r="F201" s="145">
        <v>3</v>
      </c>
      <c r="G201" s="733">
        <f>E$200*(1.78-0.418*LN(F201/E$202))</f>
        <v>51.55222709313365</v>
      </c>
    </row>
    <row r="202" spans="4:7" ht="12.75">
      <c r="D202" s="469" t="s">
        <v>515</v>
      </c>
      <c r="E202" s="735">
        <v>0.5</v>
      </c>
      <c r="F202" s="145">
        <v>10</v>
      </c>
      <c r="G202" s="733">
        <f>E$200*(1.78-0.418*LN(F202/E$202))</f>
        <v>26.389195482721593</v>
      </c>
    </row>
    <row r="203" spans="6:7" ht="12.75">
      <c r="F203" s="145">
        <v>20</v>
      </c>
      <c r="G203" s="733">
        <f>E$200*(1.78-0.418*LN(F203/E$202))</f>
        <v>11.902419409018739</v>
      </c>
    </row>
  </sheetData>
  <sheetProtection password="C7CA" sheet="1" objects="1" scenarios="1"/>
  <mergeCells count="7">
    <mergeCell ref="F198:F199"/>
    <mergeCell ref="G198:G199"/>
    <mergeCell ref="B1:K1"/>
    <mergeCell ref="B2:K2"/>
    <mergeCell ref="E165:E166"/>
    <mergeCell ref="F165:F166"/>
    <mergeCell ref="G165:G166"/>
  </mergeCells>
  <dataValidations count="1">
    <dataValidation type="decimal" allowBlank="1" showInputMessage="1" showErrorMessage="1" promptTitle="Fraction" prompt="Insert value between 0.1 and 1.0" errorTitle="frac_error" error="Value must be between 0.1 and 1.0" sqref="E202">
      <formula1>0.1</formula1>
      <formula2>1</formula2>
    </dataValidation>
  </dataValidations>
  <printOptions/>
  <pageMargins left="0.75" right="0.75" top="1" bottom="1" header="0.5" footer="0.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P441"/>
  <sheetViews>
    <sheetView zoomScale="75" zoomScaleNormal="75" workbookViewId="0" topLeftCell="A1">
      <selection activeCell="A1" sqref="A1"/>
    </sheetView>
  </sheetViews>
  <sheetFormatPr defaultColWidth="9.140625" defaultRowHeight="12.75"/>
  <cols>
    <col min="1" max="1" width="5.28125" style="0" customWidth="1"/>
    <col min="2" max="2" width="57.140625" style="0" customWidth="1"/>
    <col min="5" max="5" width="9.8515625" style="0" customWidth="1"/>
    <col min="7" max="7" width="10.421875" style="0" customWidth="1"/>
    <col min="8" max="8" width="9.7109375" style="0" customWidth="1"/>
    <col min="9" max="9" width="1.28515625" style="0" customWidth="1"/>
    <col min="10" max="10" width="9.28125" style="0" customWidth="1"/>
    <col min="11" max="11" width="44.140625" style="0" customWidth="1"/>
    <col min="14" max="15" width="11.00390625" style="0" customWidth="1"/>
    <col min="16" max="16" width="10.28125" style="0" customWidth="1"/>
  </cols>
  <sheetData>
    <row r="1" spans="1:12" ht="13.5" thickBot="1">
      <c r="A1" s="309"/>
      <c r="B1" s="309"/>
      <c r="C1" s="309"/>
      <c r="D1" s="309"/>
      <c r="E1" s="309"/>
      <c r="F1" s="309"/>
      <c r="G1" s="309"/>
      <c r="H1" s="309"/>
      <c r="I1" s="309"/>
      <c r="J1" s="309"/>
      <c r="K1" s="309"/>
      <c r="L1" s="309"/>
    </row>
    <row r="2" spans="1:12" ht="32.25" customHeight="1" thickBot="1" thickTop="1">
      <c r="A2" s="309"/>
      <c r="B2" s="1047" t="s">
        <v>428</v>
      </c>
      <c r="C2" s="1048"/>
      <c r="D2" s="1048"/>
      <c r="E2" s="1048"/>
      <c r="F2" s="1048"/>
      <c r="G2" s="1048"/>
      <c r="H2" s="1048"/>
      <c r="I2" s="1048"/>
      <c r="J2" s="1048"/>
      <c r="K2" s="1049"/>
      <c r="L2" s="309"/>
    </row>
    <row r="3" spans="1:12" ht="15" customHeight="1" thickBot="1" thickTop="1">
      <c r="A3" s="309"/>
      <c r="B3" s="312"/>
      <c r="C3" s="312"/>
      <c r="D3" s="312"/>
      <c r="E3" s="312"/>
      <c r="F3" s="312"/>
      <c r="G3" s="312"/>
      <c r="H3" s="312"/>
      <c r="I3" s="312"/>
      <c r="J3" s="312"/>
      <c r="K3" s="312"/>
      <c r="L3" s="309"/>
    </row>
    <row r="4" spans="1:12" ht="24.75" thickBot="1" thickTop="1">
      <c r="A4" s="309"/>
      <c r="B4" s="1056" t="s">
        <v>429</v>
      </c>
      <c r="C4" s="1057"/>
      <c r="D4" s="309"/>
      <c r="E4" s="309"/>
      <c r="F4" s="309"/>
      <c r="G4" s="309"/>
      <c r="H4" s="309"/>
      <c r="I4" s="309"/>
      <c r="J4" s="309"/>
      <c r="K4" s="309"/>
      <c r="L4" s="309"/>
    </row>
    <row r="5" spans="1:12" ht="13.5" thickTop="1">
      <c r="A5" s="309"/>
      <c r="B5" s="309"/>
      <c r="C5" s="309"/>
      <c r="D5" s="309"/>
      <c r="E5" s="309"/>
      <c r="F5" s="309"/>
      <c r="G5" s="309"/>
      <c r="H5" s="309"/>
      <c r="I5" s="309"/>
      <c r="J5" s="309"/>
      <c r="K5" s="309"/>
      <c r="L5" s="309"/>
    </row>
    <row r="6" spans="1:7" ht="12.75">
      <c r="A6" s="239"/>
      <c r="B6" s="239"/>
      <c r="C6" s="239"/>
      <c r="D6" s="239"/>
      <c r="E6" s="239"/>
      <c r="F6" s="239"/>
      <c r="G6" s="239"/>
    </row>
    <row r="7" spans="1:7" ht="12.75">
      <c r="A7" s="239"/>
      <c r="B7" s="239"/>
      <c r="C7" s="239"/>
      <c r="D7" s="239"/>
      <c r="E7" s="239"/>
      <c r="F7" s="239"/>
      <c r="G7" s="239"/>
    </row>
    <row r="8" spans="1:7" ht="12.75">
      <c r="A8" s="239"/>
      <c r="B8" s="239"/>
      <c r="C8" s="239"/>
      <c r="D8" s="239"/>
      <c r="E8" s="239"/>
      <c r="F8" s="239"/>
      <c r="G8" s="239"/>
    </row>
    <row r="9" spans="1:7" ht="12.75">
      <c r="A9" s="239"/>
      <c r="B9" s="239"/>
      <c r="C9" s="239"/>
      <c r="D9" s="239"/>
      <c r="E9" s="239"/>
      <c r="F9" s="239"/>
      <c r="G9" s="239"/>
    </row>
    <row r="10" spans="1:7" ht="12.75">
      <c r="A10" s="239"/>
      <c r="B10" s="239"/>
      <c r="C10" s="239"/>
      <c r="D10" s="239"/>
      <c r="E10" s="239"/>
      <c r="F10" s="239"/>
      <c r="G10" s="239"/>
    </row>
    <row r="11" spans="1:7" ht="12.75">
      <c r="A11" s="239"/>
      <c r="B11" s="239"/>
      <c r="C11" s="239"/>
      <c r="D11" s="239"/>
      <c r="E11" s="239"/>
      <c r="F11" s="239"/>
      <c r="G11" s="239"/>
    </row>
    <row r="12" spans="1:7" ht="13.5" thickBot="1">
      <c r="A12" s="546"/>
      <c r="B12" s="546"/>
      <c r="C12" s="546"/>
      <c r="D12" s="546"/>
      <c r="E12" s="546"/>
      <c r="F12" s="546"/>
      <c r="G12" s="546"/>
    </row>
    <row r="13" spans="1:7" ht="12.75">
      <c r="A13" s="239"/>
      <c r="B13" s="239"/>
      <c r="C13" s="239"/>
      <c r="D13" s="239"/>
      <c r="E13" s="239"/>
      <c r="F13" s="239"/>
      <c r="G13" s="239"/>
    </row>
    <row r="15" ht="15.75">
      <c r="B15" s="28" t="s">
        <v>389</v>
      </c>
    </row>
    <row r="17" spans="1:15" ht="34.5" customHeight="1">
      <c r="A17" s="1010" t="s">
        <v>390</v>
      </c>
      <c r="B17" s="1011"/>
      <c r="C17" s="423" t="s">
        <v>391</v>
      </c>
      <c r="D17" s="423" t="s">
        <v>392</v>
      </c>
      <c r="E17" s="423" t="s">
        <v>393</v>
      </c>
      <c r="F17" s="423" t="s">
        <v>394</v>
      </c>
      <c r="G17" s="547" t="s">
        <v>395</v>
      </c>
      <c r="J17" s="1010" t="s">
        <v>390</v>
      </c>
      <c r="K17" s="1011"/>
      <c r="L17" s="423" t="s">
        <v>391</v>
      </c>
      <c r="M17" s="423" t="s">
        <v>392</v>
      </c>
      <c r="N17" s="423" t="s">
        <v>393</v>
      </c>
      <c r="O17" s="547" t="s">
        <v>395</v>
      </c>
    </row>
    <row r="18" spans="1:15" ht="22.5" customHeight="1">
      <c r="A18" s="543"/>
      <c r="B18" s="548" t="s">
        <v>396</v>
      </c>
      <c r="C18" s="17"/>
      <c r="D18" s="17"/>
      <c r="E18" s="673">
        <v>100</v>
      </c>
      <c r="F18" s="17"/>
      <c r="G18" s="5"/>
      <c r="J18" s="543"/>
      <c r="K18" s="548" t="s">
        <v>396</v>
      </c>
      <c r="L18" s="17"/>
      <c r="M18" s="17"/>
      <c r="N18" s="673">
        <f>+E18</f>
        <v>100</v>
      </c>
      <c r="O18" s="5"/>
    </row>
    <row r="19" spans="1:15" ht="15" customHeight="1">
      <c r="A19" s="549" t="s">
        <v>397</v>
      </c>
      <c r="B19" s="17" t="s">
        <v>398</v>
      </c>
      <c r="C19" s="54"/>
      <c r="D19" s="54"/>
      <c r="E19" s="54"/>
      <c r="F19" s="54"/>
      <c r="G19" s="5"/>
      <c r="J19" s="550" t="s">
        <v>397</v>
      </c>
      <c r="K19" s="551" t="s">
        <v>398</v>
      </c>
      <c r="L19" s="5"/>
      <c r="M19" s="5"/>
      <c r="N19" s="5"/>
      <c r="O19" s="5"/>
    </row>
    <row r="20" spans="1:15" ht="18.75" customHeight="1">
      <c r="A20" s="549"/>
      <c r="B20" s="552" t="s">
        <v>399</v>
      </c>
      <c r="C20" s="54"/>
      <c r="D20" s="54"/>
      <c r="E20" s="54"/>
      <c r="F20" s="54"/>
      <c r="G20" s="5"/>
      <c r="J20" s="550"/>
      <c r="K20" s="551"/>
      <c r="L20" s="5"/>
      <c r="M20" s="5"/>
      <c r="N20" s="5"/>
      <c r="O20" s="5"/>
    </row>
    <row r="21" spans="1:15" ht="12.75">
      <c r="A21" s="553">
        <v>1</v>
      </c>
      <c r="B21" s="54" t="s">
        <v>400</v>
      </c>
      <c r="C21" s="554">
        <v>60</v>
      </c>
      <c r="D21" s="554">
        <f>+C21</f>
        <v>60</v>
      </c>
      <c r="E21" s="554">
        <v>2</v>
      </c>
      <c r="F21" s="555">
        <f>+D21*E21</f>
        <v>120</v>
      </c>
      <c r="G21" s="5"/>
      <c r="J21" s="5"/>
      <c r="K21" s="5"/>
      <c r="L21" s="5"/>
      <c r="M21" s="5"/>
      <c r="N21" s="5"/>
      <c r="O21" s="5"/>
    </row>
    <row r="22" spans="1:15" ht="12.75">
      <c r="A22" s="553">
        <v>2</v>
      </c>
      <c r="B22" s="54" t="s">
        <v>401</v>
      </c>
      <c r="C22" s="554">
        <v>120</v>
      </c>
      <c r="D22" s="554">
        <f>+C22</f>
        <v>120</v>
      </c>
      <c r="E22" s="554">
        <v>2</v>
      </c>
      <c r="F22" s="555">
        <f>+D22*E22</f>
        <v>240</v>
      </c>
      <c r="G22" s="5"/>
      <c r="J22" s="5"/>
      <c r="K22" s="5"/>
      <c r="L22" s="5"/>
      <c r="M22" s="5"/>
      <c r="N22" s="5"/>
      <c r="O22" s="5"/>
    </row>
    <row r="23" spans="1:15" ht="12.75">
      <c r="A23" s="553">
        <v>3</v>
      </c>
      <c r="B23" s="54" t="s">
        <v>402</v>
      </c>
      <c r="C23" s="554">
        <v>30</v>
      </c>
      <c r="D23" s="554">
        <f>+C23</f>
        <v>30</v>
      </c>
      <c r="E23" s="554">
        <v>1</v>
      </c>
      <c r="F23" s="555">
        <f>+D23*E23</f>
        <v>30</v>
      </c>
      <c r="G23" s="5"/>
      <c r="J23" s="5"/>
      <c r="K23" s="5"/>
      <c r="L23" s="5"/>
      <c r="M23" s="5"/>
      <c r="N23" s="5"/>
      <c r="O23" s="5"/>
    </row>
    <row r="24" spans="1:15" ht="12.75">
      <c r="A24" s="553">
        <v>4</v>
      </c>
      <c r="B24" s="54" t="s">
        <v>403</v>
      </c>
      <c r="C24" s="554">
        <v>30</v>
      </c>
      <c r="D24" s="554">
        <f>+C24</f>
        <v>30</v>
      </c>
      <c r="E24" s="554">
        <v>2</v>
      </c>
      <c r="F24" s="555">
        <f>+D24*E24</f>
        <v>60</v>
      </c>
      <c r="G24" s="5"/>
      <c r="J24" s="553"/>
      <c r="K24" s="54"/>
      <c r="L24" s="54"/>
      <c r="M24" s="54"/>
      <c r="N24" s="54"/>
      <c r="O24" s="5"/>
    </row>
    <row r="25" spans="1:15" ht="12.75">
      <c r="A25" s="553">
        <v>5</v>
      </c>
      <c r="B25" s="5" t="s">
        <v>404</v>
      </c>
      <c r="C25" s="8">
        <v>45</v>
      </c>
      <c r="D25" s="8">
        <f>+C25</f>
        <v>45</v>
      </c>
      <c r="E25" s="8">
        <v>2</v>
      </c>
      <c r="F25" s="555">
        <f>+D25*E25</f>
        <v>90</v>
      </c>
      <c r="G25" s="5"/>
      <c r="J25" s="553"/>
      <c r="K25" s="54"/>
      <c r="L25" s="54"/>
      <c r="M25" s="54"/>
      <c r="N25" s="54"/>
      <c r="O25" s="5"/>
    </row>
    <row r="26" spans="1:15" ht="21.75" customHeight="1" thickBot="1">
      <c r="A26" s="553">
        <v>6</v>
      </c>
      <c r="B26" s="556" t="s">
        <v>405</v>
      </c>
      <c r="C26" s="557"/>
      <c r="D26" s="558"/>
      <c r="E26" s="8"/>
      <c r="F26" s="555"/>
      <c r="G26" s="5"/>
      <c r="J26" s="553"/>
      <c r="K26" s="552" t="s">
        <v>406</v>
      </c>
      <c r="L26" s="54"/>
      <c r="M26" s="54"/>
      <c r="N26" s="54"/>
      <c r="O26" s="5"/>
    </row>
    <row r="27" spans="1:15" ht="12.75">
      <c r="A27" s="553">
        <v>7</v>
      </c>
      <c r="B27" s="559" t="s">
        <v>407</v>
      </c>
      <c r="C27" s="560">
        <v>15</v>
      </c>
      <c r="D27" s="561"/>
      <c r="E27" s="554"/>
      <c r="F27" s="554"/>
      <c r="G27" s="5"/>
      <c r="J27" s="23">
        <v>1</v>
      </c>
      <c r="K27" s="562" t="s">
        <v>408</v>
      </c>
      <c r="L27" s="563">
        <v>3</v>
      </c>
      <c r="M27" s="564"/>
      <c r="N27" s="565"/>
      <c r="O27" s="5"/>
    </row>
    <row r="28" spans="1:15" ht="12.75">
      <c r="A28" s="553">
        <v>8</v>
      </c>
      <c r="B28" s="566" t="s">
        <v>409</v>
      </c>
      <c r="C28" s="554">
        <v>3</v>
      </c>
      <c r="D28" s="567"/>
      <c r="E28" s="554"/>
      <c r="F28" s="554"/>
      <c r="G28" s="5"/>
      <c r="J28" s="23">
        <v>2</v>
      </c>
      <c r="K28" s="568" t="s">
        <v>410</v>
      </c>
      <c r="L28" s="8">
        <v>3</v>
      </c>
      <c r="M28" s="569"/>
      <c r="N28" s="565"/>
      <c r="O28" s="5"/>
    </row>
    <row r="29" spans="1:15" ht="13.5" thickBot="1">
      <c r="A29" s="553">
        <v>9</v>
      </c>
      <c r="B29" s="566" t="s">
        <v>411</v>
      </c>
      <c r="C29" s="554">
        <v>15</v>
      </c>
      <c r="D29" s="567"/>
      <c r="E29" s="554"/>
      <c r="F29" s="554"/>
      <c r="G29" s="570"/>
      <c r="J29" s="23">
        <v>3</v>
      </c>
      <c r="K29" s="568" t="s">
        <v>412</v>
      </c>
      <c r="L29" s="8">
        <v>5</v>
      </c>
      <c r="M29" s="569"/>
      <c r="N29" s="565"/>
      <c r="O29" s="5"/>
    </row>
    <row r="30" spans="1:15" ht="13.5" thickBot="1">
      <c r="A30" s="553">
        <v>10</v>
      </c>
      <c r="B30" s="571" t="s">
        <v>413</v>
      </c>
      <c r="C30" s="572">
        <v>3</v>
      </c>
      <c r="D30" s="573">
        <f>SUM(C27:C30)</f>
        <v>36</v>
      </c>
      <c r="E30" s="554">
        <f>E18-N34</f>
        <v>70</v>
      </c>
      <c r="F30" s="574"/>
      <c r="G30" s="575">
        <f>+E30*D30</f>
        <v>2520</v>
      </c>
      <c r="H30" s="576"/>
      <c r="I30" s="22"/>
      <c r="J30" s="23">
        <v>4</v>
      </c>
      <c r="K30" s="577" t="s">
        <v>414</v>
      </c>
      <c r="L30" s="578">
        <v>3</v>
      </c>
      <c r="M30" s="579">
        <f>SUM(L27:L30)</f>
        <v>14</v>
      </c>
      <c r="N30" s="565">
        <f>+N18</f>
        <v>100</v>
      </c>
      <c r="O30" s="8">
        <f>+N30*M30</f>
        <v>1400</v>
      </c>
    </row>
    <row r="31" spans="1:15" ht="12.75">
      <c r="A31" s="5"/>
      <c r="B31" s="580"/>
      <c r="C31" s="581"/>
      <c r="D31" s="581"/>
      <c r="E31" s="8"/>
      <c r="F31" s="574"/>
      <c r="G31" s="582"/>
      <c r="H31" s="166"/>
      <c r="I31" s="22"/>
      <c r="J31" s="23">
        <v>5</v>
      </c>
      <c r="K31" s="559" t="s">
        <v>407</v>
      </c>
      <c r="L31" s="560">
        <v>15</v>
      </c>
      <c r="M31" s="561"/>
      <c r="N31" s="5"/>
      <c r="O31" s="5"/>
    </row>
    <row r="32" spans="1:15" ht="12.75">
      <c r="A32" s="5"/>
      <c r="B32" s="583"/>
      <c r="C32" s="8"/>
      <c r="D32" s="8"/>
      <c r="E32" s="8"/>
      <c r="F32" s="574"/>
      <c r="G32" s="582"/>
      <c r="H32" s="166"/>
      <c r="I32" s="22"/>
      <c r="J32" s="23">
        <v>6</v>
      </c>
      <c r="K32" s="566" t="s">
        <v>409</v>
      </c>
      <c r="L32" s="554">
        <v>3</v>
      </c>
      <c r="M32" s="567"/>
      <c r="N32" s="5"/>
      <c r="O32" s="5"/>
    </row>
    <row r="33" spans="1:15" ht="12.75">
      <c r="A33" s="5"/>
      <c r="B33" s="5"/>
      <c r="C33" s="8"/>
      <c r="D33" s="8"/>
      <c r="E33" s="8"/>
      <c r="F33" s="574"/>
      <c r="G33" s="568"/>
      <c r="H33" s="166"/>
      <c r="I33" s="22"/>
      <c r="J33" s="23">
        <v>7</v>
      </c>
      <c r="K33" s="566" t="s">
        <v>415</v>
      </c>
      <c r="L33" s="554">
        <v>15</v>
      </c>
      <c r="M33" s="567"/>
      <c r="N33" s="5"/>
      <c r="O33" s="5"/>
    </row>
    <row r="34" spans="1:15" ht="13.5" thickBot="1">
      <c r="A34" s="5"/>
      <c r="B34" s="5"/>
      <c r="C34" s="8"/>
      <c r="D34" s="8"/>
      <c r="E34" s="8"/>
      <c r="F34" s="574"/>
      <c r="G34" s="568"/>
      <c r="H34" s="166"/>
      <c r="I34" s="22"/>
      <c r="J34" s="23">
        <v>8</v>
      </c>
      <c r="K34" s="571" t="s">
        <v>413</v>
      </c>
      <c r="L34" s="572">
        <v>3</v>
      </c>
      <c r="M34" s="573">
        <f>SUM(L31:L34)</f>
        <v>36</v>
      </c>
      <c r="N34" s="584">
        <v>30</v>
      </c>
      <c r="O34" s="8">
        <f>+N34*M34</f>
        <v>1080</v>
      </c>
    </row>
    <row r="35" spans="1:15" ht="15.75">
      <c r="A35" s="5"/>
      <c r="B35" s="5"/>
      <c r="C35" s="8"/>
      <c r="D35" s="8"/>
      <c r="E35" s="8"/>
      <c r="F35" s="574"/>
      <c r="G35" s="568"/>
      <c r="H35" s="166"/>
      <c r="I35" s="22"/>
      <c r="M35" s="28" t="s">
        <v>416</v>
      </c>
      <c r="N35" s="3" t="s">
        <v>417</v>
      </c>
      <c r="O35" s="585">
        <f>SUM(O19:O34)</f>
        <v>2480</v>
      </c>
    </row>
    <row r="36" spans="1:15" ht="16.5" thickBot="1">
      <c r="A36" s="5"/>
      <c r="B36" s="5"/>
      <c r="C36" s="8"/>
      <c r="D36" s="8"/>
      <c r="E36" s="8"/>
      <c r="F36" s="574"/>
      <c r="G36" s="577"/>
      <c r="H36" s="573">
        <f>SUM(G30:G36)</f>
        <v>2520</v>
      </c>
      <c r="I36" s="183"/>
      <c r="N36" s="3" t="s">
        <v>418</v>
      </c>
      <c r="O36" s="585">
        <f>+O35/60</f>
        <v>41.333333333333336</v>
      </c>
    </row>
    <row r="37" spans="4:7" ht="20.25" customHeight="1">
      <c r="D37" s="28" t="s">
        <v>416</v>
      </c>
      <c r="E37" s="3" t="s">
        <v>417</v>
      </c>
      <c r="F37" s="585">
        <f>SUM(F19:F36)</f>
        <v>540</v>
      </c>
      <c r="G37" s="586">
        <f>SUM(G19:G36)</f>
        <v>2520</v>
      </c>
    </row>
    <row r="38" spans="5:7" ht="18.75" customHeight="1">
      <c r="E38" s="3" t="s">
        <v>418</v>
      </c>
      <c r="F38" s="585">
        <f>+F37/60</f>
        <v>9</v>
      </c>
      <c r="G38" s="585">
        <f>+G37/60</f>
        <v>42</v>
      </c>
    </row>
    <row r="41" ht="15.75">
      <c r="B41" s="28" t="s">
        <v>419</v>
      </c>
    </row>
    <row r="43" spans="1:15" ht="30" customHeight="1">
      <c r="A43" s="1010" t="s">
        <v>390</v>
      </c>
      <c r="B43" s="1011"/>
      <c r="C43" s="423" t="s">
        <v>391</v>
      </c>
      <c r="D43" s="423" t="s">
        <v>392</v>
      </c>
      <c r="E43" s="423" t="s">
        <v>393</v>
      </c>
      <c r="F43" s="423" t="s">
        <v>394</v>
      </c>
      <c r="G43" s="547" t="s">
        <v>395</v>
      </c>
      <c r="J43" s="1010" t="s">
        <v>390</v>
      </c>
      <c r="K43" s="1011"/>
      <c r="L43" s="423" t="s">
        <v>391</v>
      </c>
      <c r="M43" s="423" t="s">
        <v>392</v>
      </c>
      <c r="N43" s="423" t="s">
        <v>393</v>
      </c>
      <c r="O43" s="547" t="s">
        <v>395</v>
      </c>
    </row>
    <row r="44" spans="1:15" ht="19.5" customHeight="1">
      <c r="A44" s="543"/>
      <c r="B44" s="548" t="s">
        <v>420</v>
      </c>
      <c r="C44" s="17"/>
      <c r="D44" s="54"/>
      <c r="E44" s="673">
        <f>+E18</f>
        <v>100</v>
      </c>
      <c r="F44" s="54"/>
      <c r="G44" s="5"/>
      <c r="J44" s="543"/>
      <c r="K44" s="548" t="s">
        <v>420</v>
      </c>
      <c r="L44" s="17"/>
      <c r="M44" s="54"/>
      <c r="N44" s="673">
        <f>+E18</f>
        <v>100</v>
      </c>
      <c r="O44" s="5"/>
    </row>
    <row r="45" spans="1:15" ht="12.75">
      <c r="A45" s="549" t="s">
        <v>397</v>
      </c>
      <c r="B45" s="17" t="s">
        <v>398</v>
      </c>
      <c r="C45" s="54"/>
      <c r="D45" s="554"/>
      <c r="E45" s="554"/>
      <c r="F45" s="555"/>
      <c r="G45" s="5"/>
      <c r="J45" s="549" t="s">
        <v>397</v>
      </c>
      <c r="K45" s="17" t="s">
        <v>398</v>
      </c>
      <c r="L45" s="54"/>
      <c r="M45" s="554"/>
      <c r="N45" s="554"/>
      <c r="O45" s="5"/>
    </row>
    <row r="46" spans="1:15" ht="18.75" customHeight="1">
      <c r="A46" s="549"/>
      <c r="B46" s="552" t="s">
        <v>399</v>
      </c>
      <c r="C46" s="54"/>
      <c r="D46" s="554"/>
      <c r="E46" s="554"/>
      <c r="F46" s="555"/>
      <c r="G46" s="5"/>
      <c r="J46" s="5"/>
      <c r="K46" s="5"/>
      <c r="L46" s="5"/>
      <c r="M46" s="5"/>
      <c r="N46" s="5"/>
      <c r="O46" s="5"/>
    </row>
    <row r="47" spans="1:15" ht="12.75">
      <c r="A47" s="553">
        <v>1</v>
      </c>
      <c r="B47" s="54" t="s">
        <v>400</v>
      </c>
      <c r="C47" s="554">
        <v>60</v>
      </c>
      <c r="D47" s="554">
        <v>60</v>
      </c>
      <c r="E47" s="554">
        <v>2</v>
      </c>
      <c r="F47" s="555">
        <f>+D47*E47</f>
        <v>120</v>
      </c>
      <c r="G47" s="5"/>
      <c r="J47" s="5"/>
      <c r="K47" s="5"/>
      <c r="L47" s="5"/>
      <c r="M47" s="5"/>
      <c r="N47" s="5"/>
      <c r="O47" s="5"/>
    </row>
    <row r="48" spans="1:15" ht="12.75">
      <c r="A48" s="553">
        <f>+A47+1</f>
        <v>2</v>
      </c>
      <c r="B48" s="54" t="s">
        <v>401</v>
      </c>
      <c r="C48" s="554">
        <v>120</v>
      </c>
      <c r="D48" s="554">
        <v>120</v>
      </c>
      <c r="E48" s="554">
        <v>2</v>
      </c>
      <c r="F48" s="555">
        <f>+D48*E48</f>
        <v>240</v>
      </c>
      <c r="G48" s="5"/>
      <c r="J48" s="5"/>
      <c r="K48" s="5"/>
      <c r="L48" s="5"/>
      <c r="M48" s="5"/>
      <c r="N48" s="5"/>
      <c r="O48" s="5"/>
    </row>
    <row r="49" spans="1:15" ht="12.75">
      <c r="A49" s="553">
        <f>+A48+1</f>
        <v>3</v>
      </c>
      <c r="B49" s="54" t="s">
        <v>402</v>
      </c>
      <c r="C49" s="554">
        <v>30</v>
      </c>
      <c r="D49" s="554">
        <v>30</v>
      </c>
      <c r="E49" s="554">
        <v>1</v>
      </c>
      <c r="F49" s="555">
        <f>+D49*E49</f>
        <v>30</v>
      </c>
      <c r="G49" s="5"/>
      <c r="J49" s="5"/>
      <c r="K49" s="5"/>
      <c r="L49" s="5"/>
      <c r="M49" s="5"/>
      <c r="N49" s="5"/>
      <c r="O49" s="5"/>
    </row>
    <row r="50" spans="1:15" ht="12.75">
      <c r="A50" s="198">
        <f>+A49+1</f>
        <v>4</v>
      </c>
      <c r="B50" s="5" t="s">
        <v>403</v>
      </c>
      <c r="C50" s="8">
        <v>30</v>
      </c>
      <c r="D50" s="554">
        <v>30</v>
      </c>
      <c r="E50" s="554">
        <v>2</v>
      </c>
      <c r="F50" s="555">
        <f>+D50*E50</f>
        <v>60</v>
      </c>
      <c r="G50" s="5"/>
      <c r="J50" s="5"/>
      <c r="K50" s="5"/>
      <c r="L50" s="5"/>
      <c r="M50" s="5"/>
      <c r="N50" s="5"/>
      <c r="O50" s="5"/>
    </row>
    <row r="51" spans="1:15" ht="12.75">
      <c r="A51" s="198">
        <f>+A50+1</f>
        <v>5</v>
      </c>
      <c r="B51" s="5" t="s">
        <v>404</v>
      </c>
      <c r="C51" s="8">
        <v>45</v>
      </c>
      <c r="D51" s="8">
        <f>+L55</f>
        <v>3</v>
      </c>
      <c r="E51" s="8">
        <v>2</v>
      </c>
      <c r="F51" s="555">
        <f>+D51*E51</f>
        <v>6</v>
      </c>
      <c r="G51" s="5"/>
      <c r="J51" s="5"/>
      <c r="K51" s="5"/>
      <c r="L51" s="5"/>
      <c r="M51" s="5"/>
      <c r="N51" s="5"/>
      <c r="O51" s="5"/>
    </row>
    <row r="52" spans="1:15" ht="19.5" customHeight="1" thickBot="1">
      <c r="A52" s="198"/>
      <c r="B52" s="587" t="s">
        <v>405</v>
      </c>
      <c r="C52" s="558"/>
      <c r="D52" s="558"/>
      <c r="E52" s="8"/>
      <c r="F52" s="555"/>
      <c r="G52" s="371"/>
      <c r="J52" s="5"/>
      <c r="K52" s="5"/>
      <c r="L52" s="5"/>
      <c r="M52" s="5"/>
      <c r="N52" s="5"/>
      <c r="O52" s="5"/>
    </row>
    <row r="53" spans="1:15" ht="12.75">
      <c r="A53" s="198">
        <f>+A51+1</f>
        <v>6</v>
      </c>
      <c r="B53" s="562" t="s">
        <v>408</v>
      </c>
      <c r="C53" s="563">
        <v>3</v>
      </c>
      <c r="D53" s="564"/>
      <c r="E53" s="565"/>
      <c r="F53" s="588"/>
      <c r="G53" s="562"/>
      <c r="H53" s="576"/>
      <c r="I53" s="22"/>
      <c r="J53" s="24"/>
      <c r="K53" s="5"/>
      <c r="L53" s="5"/>
      <c r="M53" s="5"/>
      <c r="N53" s="5"/>
      <c r="O53" s="5"/>
    </row>
    <row r="54" spans="1:15" ht="17.25" customHeight="1" thickBot="1">
      <c r="A54" s="198">
        <f>+A53+1</f>
        <v>7</v>
      </c>
      <c r="B54" s="568" t="s">
        <v>410</v>
      </c>
      <c r="C54" s="8">
        <v>3</v>
      </c>
      <c r="D54" s="569"/>
      <c r="E54" s="565"/>
      <c r="F54" s="588"/>
      <c r="G54" s="568"/>
      <c r="H54" s="166"/>
      <c r="I54" s="22"/>
      <c r="J54" s="24"/>
      <c r="K54" s="587" t="s">
        <v>406</v>
      </c>
      <c r="L54" s="570"/>
      <c r="M54" s="570"/>
      <c r="N54" s="5"/>
      <c r="O54" s="5"/>
    </row>
    <row r="55" spans="1:15" ht="12.75">
      <c r="A55" s="198">
        <f>+A54+1</f>
        <v>8</v>
      </c>
      <c r="B55" s="568" t="s">
        <v>421</v>
      </c>
      <c r="C55" s="8">
        <v>2</v>
      </c>
      <c r="D55" s="569"/>
      <c r="E55" s="565"/>
      <c r="F55" s="588"/>
      <c r="G55" s="589"/>
      <c r="H55" s="590"/>
      <c r="I55" s="22"/>
      <c r="J55" s="25">
        <v>1</v>
      </c>
      <c r="K55" s="559" t="s">
        <v>409</v>
      </c>
      <c r="L55" s="563">
        <v>3</v>
      </c>
      <c r="M55" s="564"/>
      <c r="N55" s="565"/>
      <c r="O55" s="5"/>
    </row>
    <row r="56" spans="1:15" ht="13.5" thickBot="1">
      <c r="A56" s="198">
        <f>+A55+1</f>
        <v>9</v>
      </c>
      <c r="B56" s="577" t="s">
        <v>414</v>
      </c>
      <c r="C56" s="578">
        <v>3</v>
      </c>
      <c r="D56" s="579">
        <f>SUM(C53:C56)</f>
        <v>11</v>
      </c>
      <c r="E56" s="565">
        <f>+E44</f>
        <v>100</v>
      </c>
      <c r="F56" s="23"/>
      <c r="G56" s="582">
        <f>+E56*D56</f>
        <v>1100</v>
      </c>
      <c r="H56" s="591"/>
      <c r="I56" s="129"/>
      <c r="J56" s="25">
        <f>+J55+1</f>
        <v>2</v>
      </c>
      <c r="K56" s="566" t="s">
        <v>422</v>
      </c>
      <c r="L56" s="8">
        <v>10</v>
      </c>
      <c r="M56" s="569"/>
      <c r="N56" s="565"/>
      <c r="O56" s="5"/>
    </row>
    <row r="57" spans="1:15" ht="13.5" thickBot="1">
      <c r="A57" s="25">
        <v>1</v>
      </c>
      <c r="B57" s="559" t="s">
        <v>409</v>
      </c>
      <c r="C57" s="563">
        <v>3</v>
      </c>
      <c r="D57" s="564"/>
      <c r="E57" s="565"/>
      <c r="F57" s="588"/>
      <c r="G57" s="568"/>
      <c r="H57" s="590"/>
      <c r="I57" s="22"/>
      <c r="J57" s="25">
        <f>+J56+1</f>
        <v>3</v>
      </c>
      <c r="K57" s="592" t="s">
        <v>423</v>
      </c>
      <c r="L57" s="578">
        <v>10</v>
      </c>
      <c r="M57" s="579">
        <f>SUM(L55:L57)</f>
        <v>23</v>
      </c>
      <c r="N57" s="565">
        <v>73</v>
      </c>
      <c r="O57" s="582">
        <f>+N57*M57</f>
        <v>1679</v>
      </c>
    </row>
    <row r="58" spans="1:15" ht="12.75">
      <c r="A58" s="25">
        <f>+A57+1</f>
        <v>2</v>
      </c>
      <c r="B58" s="566" t="s">
        <v>422</v>
      </c>
      <c r="C58" s="8">
        <v>10</v>
      </c>
      <c r="D58" s="569"/>
      <c r="E58" s="565"/>
      <c r="F58" s="588"/>
      <c r="G58" s="582"/>
      <c r="H58" s="166"/>
      <c r="I58" s="22"/>
      <c r="J58" s="24"/>
      <c r="K58" s="553"/>
      <c r="L58" s="553"/>
      <c r="M58" s="553"/>
      <c r="N58" s="5"/>
      <c r="O58" s="553"/>
    </row>
    <row r="59" spans="1:15" ht="13.5" thickBot="1">
      <c r="A59" s="23">
        <f>+A58+1</f>
        <v>3</v>
      </c>
      <c r="B59" s="592" t="s">
        <v>423</v>
      </c>
      <c r="C59" s="578">
        <v>10</v>
      </c>
      <c r="D59" s="579">
        <f>SUM(C57:C59)</f>
        <v>23</v>
      </c>
      <c r="E59" s="584">
        <f>100-N57</f>
        <v>27</v>
      </c>
      <c r="F59" s="23"/>
      <c r="G59" s="593">
        <f>+E59*D59</f>
        <v>621</v>
      </c>
      <c r="H59" s="594">
        <f>SUM(G53:G59)</f>
        <v>1721</v>
      </c>
      <c r="I59" s="129"/>
      <c r="J59" s="24"/>
      <c r="K59" s="553"/>
      <c r="L59" s="553"/>
      <c r="M59" s="553"/>
      <c r="N59" s="5"/>
      <c r="O59" s="553"/>
    </row>
    <row r="60" spans="4:15" ht="15.75">
      <c r="D60" s="468" t="s">
        <v>416</v>
      </c>
      <c r="E60" s="595" t="s">
        <v>417</v>
      </c>
      <c r="F60" s="585">
        <f>SUM(F47:F59)</f>
        <v>456</v>
      </c>
      <c r="G60" s="586">
        <f>SUM(G47:G59)</f>
        <v>1721</v>
      </c>
      <c r="J60" s="5"/>
      <c r="K60" s="553"/>
      <c r="L60" s="553"/>
      <c r="M60" s="553"/>
      <c r="N60" s="5"/>
      <c r="O60" s="553"/>
    </row>
    <row r="61" spans="4:15" ht="15.75">
      <c r="D61" s="235"/>
      <c r="E61" s="3" t="s">
        <v>418</v>
      </c>
      <c r="F61" s="585">
        <f>+F60/60</f>
        <v>7.6</v>
      </c>
      <c r="G61" s="585">
        <f>+G60/60</f>
        <v>28.683333333333334</v>
      </c>
      <c r="J61" s="5"/>
      <c r="K61" s="553"/>
      <c r="L61" s="553"/>
      <c r="M61" s="553"/>
      <c r="N61" s="5"/>
      <c r="O61" s="553"/>
    </row>
    <row r="62" spans="4:15" ht="15.75">
      <c r="D62" s="235"/>
      <c r="O62" s="585">
        <f>SUM(O45:O61)</f>
        <v>1679</v>
      </c>
    </row>
    <row r="63" spans="4:8" ht="15.75">
      <c r="D63" s="596" t="s">
        <v>424</v>
      </c>
      <c r="E63" s="3" t="s">
        <v>417</v>
      </c>
      <c r="F63" s="597">
        <f>+F60+F37</f>
        <v>996</v>
      </c>
      <c r="H63" s="672" t="s">
        <v>490</v>
      </c>
    </row>
    <row r="64" spans="4:10" ht="18">
      <c r="D64" s="468"/>
      <c r="E64" s="3" t="s">
        <v>418</v>
      </c>
      <c r="F64" s="598">
        <f>+F63/60</f>
        <v>16.6</v>
      </c>
      <c r="H64" s="599" t="s">
        <v>425</v>
      </c>
      <c r="I64" s="599"/>
      <c r="J64" s="600">
        <f>ROUNDUP(F64*1.25,0)</f>
        <v>21</v>
      </c>
    </row>
    <row r="65" spans="4:10" ht="18">
      <c r="D65" s="468"/>
      <c r="J65" s="601"/>
    </row>
    <row r="66" spans="4:10" ht="18">
      <c r="D66" s="468" t="s">
        <v>426</v>
      </c>
      <c r="F66" s="3" t="s">
        <v>417</v>
      </c>
      <c r="G66" s="585">
        <f>+G60+G37</f>
        <v>4241</v>
      </c>
      <c r="J66" s="601"/>
    </row>
    <row r="67" spans="4:10" ht="18">
      <c r="D67" s="235"/>
      <c r="F67" s="3" t="s">
        <v>418</v>
      </c>
      <c r="G67" s="585">
        <f>+G66/60</f>
        <v>70.68333333333334</v>
      </c>
      <c r="J67" s="601"/>
    </row>
    <row r="68" spans="4:10" ht="18">
      <c r="D68" s="235"/>
      <c r="J68" s="601"/>
    </row>
    <row r="69" spans="4:10" ht="18">
      <c r="D69" s="596" t="s">
        <v>427</v>
      </c>
      <c r="F69" s="3" t="s">
        <v>417</v>
      </c>
      <c r="G69" s="597">
        <f>+G66/E18</f>
        <v>42.41</v>
      </c>
      <c r="J69" s="601"/>
    </row>
    <row r="70" spans="6:10" ht="18">
      <c r="F70" s="3" t="s">
        <v>418</v>
      </c>
      <c r="G70" s="602">
        <f>+G69/60</f>
        <v>0.7068333333333333</v>
      </c>
      <c r="H70" s="599" t="s">
        <v>425</v>
      </c>
      <c r="I70" s="599"/>
      <c r="J70" s="600">
        <f>ROUNDUP(+G70*1.25,1)</f>
        <v>0.9</v>
      </c>
    </row>
    <row r="72" spans="1:16" ht="13.5" thickBot="1">
      <c r="A72" s="309"/>
      <c r="B72" s="309"/>
      <c r="C72" s="309"/>
      <c r="D72" s="309"/>
      <c r="E72" s="309"/>
      <c r="F72" s="309"/>
      <c r="G72" s="309"/>
      <c r="H72" s="309"/>
      <c r="I72" s="309"/>
      <c r="J72" s="309"/>
      <c r="K72" s="309"/>
      <c r="L72" s="309"/>
      <c r="M72" s="309"/>
      <c r="N72" s="309"/>
      <c r="O72" s="309"/>
      <c r="P72" s="309"/>
    </row>
    <row r="73" spans="1:16" ht="24.75" thickBot="1" thickTop="1">
      <c r="A73" s="309"/>
      <c r="B73" s="1060" t="s">
        <v>489</v>
      </c>
      <c r="C73" s="1060"/>
      <c r="D73" s="1061"/>
      <c r="E73" s="309"/>
      <c r="F73" s="309"/>
      <c r="G73" s="309"/>
      <c r="H73" s="309"/>
      <c r="I73" s="309"/>
      <c r="J73" s="309"/>
      <c r="K73" s="309"/>
      <c r="L73" s="309"/>
      <c r="M73" s="309"/>
      <c r="N73" s="309"/>
      <c r="O73" s="309"/>
      <c r="P73" s="309"/>
    </row>
    <row r="74" spans="1:16" ht="13.5" thickTop="1">
      <c r="A74" s="309"/>
      <c r="B74" s="309"/>
      <c r="C74" s="309"/>
      <c r="D74" s="309"/>
      <c r="E74" s="309"/>
      <c r="F74" s="309"/>
      <c r="G74" s="309"/>
      <c r="H74" s="309"/>
      <c r="I74" s="309"/>
      <c r="J74" s="309"/>
      <c r="K74" s="309"/>
      <c r="L74" s="309"/>
      <c r="M74" s="309"/>
      <c r="N74" s="309"/>
      <c r="O74" s="309"/>
      <c r="P74" s="309"/>
    </row>
    <row r="80" spans="2:9" ht="13.5" thickBot="1">
      <c r="B80" s="450"/>
      <c r="C80" s="450"/>
      <c r="D80" s="450"/>
      <c r="E80" s="450"/>
      <c r="F80" s="450"/>
      <c r="G80" s="450"/>
      <c r="H80" s="450"/>
      <c r="I80" s="22"/>
    </row>
    <row r="82" spans="2:3" ht="15.75">
      <c r="B82" s="161" t="s">
        <v>430</v>
      </c>
      <c r="C82" s="603">
        <v>0</v>
      </c>
    </row>
    <row r="84" ht="15.75">
      <c r="B84" s="28" t="s">
        <v>431</v>
      </c>
    </row>
    <row r="85" spans="6:7" ht="12.75">
      <c r="F85" s="1058" t="s">
        <v>432</v>
      </c>
      <c r="G85" s="1059"/>
    </row>
    <row r="86" spans="1:16" ht="22.5">
      <c r="A86" s="1002" t="s">
        <v>390</v>
      </c>
      <c r="B86" s="1003"/>
      <c r="C86" s="604" t="s">
        <v>391</v>
      </c>
      <c r="D86" s="604" t="s">
        <v>392</v>
      </c>
      <c r="E86" s="604" t="s">
        <v>393</v>
      </c>
      <c r="F86" s="604" t="s">
        <v>394</v>
      </c>
      <c r="G86" s="605" t="s">
        <v>395</v>
      </c>
      <c r="J86" s="1002" t="s">
        <v>390</v>
      </c>
      <c r="K86" s="1003"/>
      <c r="L86" s="604" t="s">
        <v>391</v>
      </c>
      <c r="M86" s="604" t="s">
        <v>392</v>
      </c>
      <c r="N86" s="604" t="s">
        <v>393</v>
      </c>
      <c r="O86" s="604" t="s">
        <v>394</v>
      </c>
      <c r="P86" s="605" t="s">
        <v>395</v>
      </c>
    </row>
    <row r="87" spans="1:16" ht="15.75">
      <c r="A87" s="543"/>
      <c r="B87" s="548" t="s">
        <v>433</v>
      </c>
      <c r="C87" s="17"/>
      <c r="D87" s="17"/>
      <c r="E87" s="673">
        <v>40</v>
      </c>
      <c r="F87" s="17"/>
      <c r="G87" s="5"/>
      <c r="J87" s="29"/>
      <c r="L87" s="17"/>
      <c r="M87" s="606" t="s">
        <v>433</v>
      </c>
      <c r="N87" s="673">
        <f>+E87</f>
        <v>40</v>
      </c>
      <c r="O87" s="17"/>
      <c r="P87" s="5"/>
    </row>
    <row r="88" spans="1:16" ht="12.75">
      <c r="A88" s="549" t="s">
        <v>397</v>
      </c>
      <c r="B88" s="17" t="s">
        <v>398</v>
      </c>
      <c r="C88" s="54"/>
      <c r="D88" s="54"/>
      <c r="E88" s="54"/>
      <c r="F88" s="54"/>
      <c r="G88" s="5"/>
      <c r="J88" s="549" t="s">
        <v>397</v>
      </c>
      <c r="K88" s="11" t="s">
        <v>398</v>
      </c>
      <c r="L88" s="54"/>
      <c r="M88" s="54"/>
      <c r="N88" s="54"/>
      <c r="O88" s="54"/>
      <c r="P88" s="5"/>
    </row>
    <row r="89" spans="1:16" ht="12.75">
      <c r="A89" s="549"/>
      <c r="B89" s="552" t="s">
        <v>399</v>
      </c>
      <c r="C89" s="54"/>
      <c r="D89" s="54"/>
      <c r="E89" s="54"/>
      <c r="F89" s="54"/>
      <c r="G89" s="5"/>
      <c r="J89" s="549"/>
      <c r="K89" s="11"/>
      <c r="L89" s="54"/>
      <c r="M89" s="54"/>
      <c r="N89" s="54"/>
      <c r="O89" s="54"/>
      <c r="P89" s="5"/>
    </row>
    <row r="90" spans="1:16" ht="12.75">
      <c r="A90" s="553">
        <v>1</v>
      </c>
      <c r="B90" s="54" t="s">
        <v>400</v>
      </c>
      <c r="C90" s="554">
        <v>60</v>
      </c>
      <c r="D90" s="554">
        <f>+C90</f>
        <v>60</v>
      </c>
      <c r="E90" s="554">
        <v>2</v>
      </c>
      <c r="F90" s="555">
        <f aca="true" t="shared" si="0" ref="F90:F95">+D90*E90</f>
        <v>120</v>
      </c>
      <c r="G90" s="5"/>
      <c r="J90" s="5"/>
      <c r="K90" s="5"/>
      <c r="L90" s="5"/>
      <c r="M90" s="5"/>
      <c r="N90" s="5"/>
      <c r="O90" s="5"/>
      <c r="P90" s="5"/>
    </row>
    <row r="91" spans="1:16" ht="12.75">
      <c r="A91" s="553">
        <f>+A90+1</f>
        <v>2</v>
      </c>
      <c r="B91" s="54" t="s">
        <v>401</v>
      </c>
      <c r="C91" s="554">
        <v>120</v>
      </c>
      <c r="D91" s="554">
        <f aca="true" t="shared" si="1" ref="D91:D100">+C91</f>
        <v>120</v>
      </c>
      <c r="E91" s="554">
        <v>2</v>
      </c>
      <c r="F91" s="555">
        <f t="shared" si="0"/>
        <v>240</v>
      </c>
      <c r="G91" s="5"/>
      <c r="J91" s="5"/>
      <c r="K91" s="5"/>
      <c r="L91" s="5"/>
      <c r="M91" s="5"/>
      <c r="N91" s="5"/>
      <c r="O91" s="5"/>
      <c r="P91" s="5"/>
    </row>
    <row r="92" spans="1:16" ht="12.75">
      <c r="A92" s="553">
        <f aca="true" t="shared" si="2" ref="A92:A115">+A91+1</f>
        <v>3</v>
      </c>
      <c r="B92" s="5" t="s">
        <v>402</v>
      </c>
      <c r="C92" s="554">
        <v>30</v>
      </c>
      <c r="D92" s="554">
        <f t="shared" si="1"/>
        <v>30</v>
      </c>
      <c r="E92" s="554">
        <v>1</v>
      </c>
      <c r="F92" s="555">
        <f t="shared" si="0"/>
        <v>30</v>
      </c>
      <c r="G92" s="5"/>
      <c r="J92" s="5"/>
      <c r="K92" s="5"/>
      <c r="L92" s="5"/>
      <c r="M92" s="5"/>
      <c r="N92" s="5"/>
      <c r="O92" s="5"/>
      <c r="P92" s="5"/>
    </row>
    <row r="93" spans="1:16" ht="12.75">
      <c r="A93" s="553">
        <f t="shared" si="2"/>
        <v>4</v>
      </c>
      <c r="B93" s="5" t="s">
        <v>434</v>
      </c>
      <c r="C93" s="554">
        <v>60</v>
      </c>
      <c r="D93" s="554">
        <f t="shared" si="1"/>
        <v>60</v>
      </c>
      <c r="E93" s="554">
        <v>2</v>
      </c>
      <c r="F93" s="555">
        <f t="shared" si="0"/>
        <v>120</v>
      </c>
      <c r="G93" s="5"/>
      <c r="J93" s="5"/>
      <c r="K93" s="5"/>
      <c r="L93" s="5"/>
      <c r="M93" s="5"/>
      <c r="N93" s="5"/>
      <c r="O93" s="5"/>
      <c r="P93" s="5"/>
    </row>
    <row r="94" spans="1:16" ht="12.75">
      <c r="A94" s="553">
        <f t="shared" si="2"/>
        <v>5</v>
      </c>
      <c r="B94" s="5" t="s">
        <v>435</v>
      </c>
      <c r="C94" s="8">
        <f>15*(1-C$10)</f>
        <v>15</v>
      </c>
      <c r="D94" s="8">
        <f t="shared" si="1"/>
        <v>15</v>
      </c>
      <c r="E94" s="554">
        <v>2</v>
      </c>
      <c r="F94" s="555">
        <f t="shared" si="0"/>
        <v>30</v>
      </c>
      <c r="G94" s="570"/>
      <c r="J94" s="5"/>
      <c r="K94" s="5"/>
      <c r="L94" s="5"/>
      <c r="M94" s="5"/>
      <c r="N94" s="5"/>
      <c r="O94" s="5"/>
      <c r="P94" s="5"/>
    </row>
    <row r="95" spans="1:16" ht="12.75">
      <c r="A95" s="553">
        <f t="shared" si="2"/>
        <v>6</v>
      </c>
      <c r="B95" s="5" t="s">
        <v>403</v>
      </c>
      <c r="C95" s="8">
        <v>30</v>
      </c>
      <c r="D95" s="8">
        <f t="shared" si="1"/>
        <v>30</v>
      </c>
      <c r="E95" s="554">
        <v>2</v>
      </c>
      <c r="F95" s="607">
        <f t="shared" si="0"/>
        <v>60</v>
      </c>
      <c r="G95" s="5"/>
      <c r="J95" s="5"/>
      <c r="K95" s="5"/>
      <c r="L95" s="5"/>
      <c r="M95" s="5"/>
      <c r="N95" s="5"/>
      <c r="O95" s="5"/>
      <c r="P95" s="8"/>
    </row>
    <row r="96" spans="1:16" ht="13.5" thickBot="1">
      <c r="A96" s="198"/>
      <c r="B96" s="587" t="s">
        <v>405</v>
      </c>
      <c r="C96" s="8"/>
      <c r="D96" s="8"/>
      <c r="E96" s="554"/>
      <c r="F96" s="607"/>
      <c r="G96" s="570"/>
      <c r="J96" s="5"/>
      <c r="K96" s="587" t="s">
        <v>406</v>
      </c>
      <c r="L96" s="570"/>
      <c r="M96" s="570"/>
      <c r="N96" s="5"/>
      <c r="O96" s="5"/>
      <c r="P96" s="8"/>
    </row>
    <row r="97" spans="1:16" ht="13.5" thickBot="1">
      <c r="A97" s="198">
        <f>+A95+1</f>
        <v>7</v>
      </c>
      <c r="B97" s="5" t="s">
        <v>436</v>
      </c>
      <c r="C97" s="8">
        <f>15*(1-C$10)</f>
        <v>15</v>
      </c>
      <c r="D97" s="554">
        <f t="shared" si="1"/>
        <v>15</v>
      </c>
      <c r="E97" s="554">
        <v>1</v>
      </c>
      <c r="F97" s="607"/>
      <c r="G97" s="562">
        <f>+E97*D97</f>
        <v>15</v>
      </c>
      <c r="H97" s="576"/>
      <c r="I97" s="22"/>
      <c r="J97" s="5">
        <v>1</v>
      </c>
      <c r="K97" s="608" t="s">
        <v>437</v>
      </c>
      <c r="L97" s="558">
        <v>15</v>
      </c>
      <c r="M97" s="558">
        <f>+L97</f>
        <v>15</v>
      </c>
      <c r="N97" s="8">
        <v>1</v>
      </c>
      <c r="O97" s="609"/>
      <c r="P97" s="8">
        <f>+N97*M97</f>
        <v>15</v>
      </c>
    </row>
    <row r="98" spans="1:16" ht="12.75">
      <c r="A98" s="5">
        <f>+A97+1</f>
        <v>8</v>
      </c>
      <c r="B98" s="583" t="s">
        <v>438</v>
      </c>
      <c r="C98" s="8">
        <v>32</v>
      </c>
      <c r="D98" s="554">
        <f t="shared" si="1"/>
        <v>32</v>
      </c>
      <c r="E98" s="8">
        <v>1</v>
      </c>
      <c r="F98" s="607"/>
      <c r="G98" s="568">
        <f>+E98*D98</f>
        <v>32</v>
      </c>
      <c r="H98" s="166"/>
      <c r="I98" s="22"/>
      <c r="J98" s="23">
        <f>+J97+1</f>
        <v>2</v>
      </c>
      <c r="K98" s="559" t="s">
        <v>439</v>
      </c>
      <c r="L98" s="563">
        <v>10</v>
      </c>
      <c r="M98" s="564"/>
      <c r="N98" s="565"/>
      <c r="O98" s="609"/>
      <c r="P98" s="8"/>
    </row>
    <row r="99" spans="1:16" ht="12.75">
      <c r="A99" s="5">
        <f>+A98+1</f>
        <v>9</v>
      </c>
      <c r="B99" s="570" t="s">
        <v>440</v>
      </c>
      <c r="C99" s="558">
        <f>15*(1-C$10)</f>
        <v>15</v>
      </c>
      <c r="D99" s="554">
        <f t="shared" si="1"/>
        <v>15</v>
      </c>
      <c r="E99" s="8">
        <v>1</v>
      </c>
      <c r="F99" s="610"/>
      <c r="G99" s="568">
        <f>+E99*D99</f>
        <v>15</v>
      </c>
      <c r="H99" s="166"/>
      <c r="I99" s="22"/>
      <c r="J99" s="23">
        <f>+J98+1</f>
        <v>3</v>
      </c>
      <c r="K99" s="566" t="s">
        <v>441</v>
      </c>
      <c r="L99" s="8">
        <v>20</v>
      </c>
      <c r="M99" s="569"/>
      <c r="N99" s="565"/>
      <c r="O99" s="609"/>
      <c r="P99" s="8"/>
    </row>
    <row r="100" spans="1:16" ht="13.5" thickBot="1">
      <c r="A100" s="23">
        <f t="shared" si="2"/>
        <v>10</v>
      </c>
      <c r="B100" s="570" t="s">
        <v>442</v>
      </c>
      <c r="C100" s="558">
        <v>32</v>
      </c>
      <c r="D100" s="557">
        <f t="shared" si="1"/>
        <v>32</v>
      </c>
      <c r="E100" s="8">
        <v>1</v>
      </c>
      <c r="F100" s="610"/>
      <c r="G100" s="568">
        <f>+E100*D100</f>
        <v>32</v>
      </c>
      <c r="H100" s="166"/>
      <c r="I100" s="22"/>
      <c r="J100" s="23">
        <f>+J99+1</f>
        <v>4</v>
      </c>
      <c r="K100" s="566" t="s">
        <v>443</v>
      </c>
      <c r="L100" s="8">
        <v>10</v>
      </c>
      <c r="M100" s="569"/>
      <c r="N100" s="565"/>
      <c r="O100" s="609"/>
      <c r="P100" s="8"/>
    </row>
    <row r="101" spans="1:16" ht="13.5" thickBot="1">
      <c r="A101" s="23">
        <f t="shared" si="2"/>
        <v>11</v>
      </c>
      <c r="B101" s="559" t="s">
        <v>444</v>
      </c>
      <c r="C101" s="563">
        <v>40</v>
      </c>
      <c r="D101" s="564"/>
      <c r="E101" s="565"/>
      <c r="F101" s="588"/>
      <c r="G101" s="568"/>
      <c r="H101" s="166"/>
      <c r="I101" s="22"/>
      <c r="J101" s="23">
        <f>+J100+1</f>
        <v>5</v>
      </c>
      <c r="K101" s="592" t="s">
        <v>445</v>
      </c>
      <c r="L101" s="578">
        <v>20</v>
      </c>
      <c r="M101" s="579">
        <f>SUM(L98:L101)</f>
        <v>60</v>
      </c>
      <c r="N101" s="565">
        <f>+E$87/2-E110</f>
        <v>17</v>
      </c>
      <c r="O101" s="8"/>
      <c r="P101" s="8">
        <f>+N101*M101</f>
        <v>1020</v>
      </c>
    </row>
    <row r="102" spans="1:16" ht="12.75">
      <c r="A102" s="23">
        <f t="shared" si="2"/>
        <v>12</v>
      </c>
      <c r="B102" s="568" t="s">
        <v>446</v>
      </c>
      <c r="C102" s="8">
        <f>15*(1-C$10)</f>
        <v>15</v>
      </c>
      <c r="D102" s="569"/>
      <c r="E102" s="565"/>
      <c r="F102" s="588"/>
      <c r="G102" s="568"/>
      <c r="H102" s="166"/>
      <c r="I102" s="22"/>
      <c r="J102" s="23">
        <f>+J101+1</f>
        <v>6</v>
      </c>
      <c r="K102" s="580" t="s">
        <v>447</v>
      </c>
      <c r="L102" s="581">
        <v>15</v>
      </c>
      <c r="M102" s="581">
        <f>+L102</f>
        <v>15</v>
      </c>
      <c r="N102" s="565">
        <v>1</v>
      </c>
      <c r="O102" s="609"/>
      <c r="P102" s="8">
        <f>+N102*M102</f>
        <v>15</v>
      </c>
    </row>
    <row r="103" spans="1:16" ht="12.75">
      <c r="A103" s="23">
        <f t="shared" si="2"/>
        <v>13</v>
      </c>
      <c r="B103" s="568" t="s">
        <v>448</v>
      </c>
      <c r="C103" s="8">
        <v>40</v>
      </c>
      <c r="D103" s="569"/>
      <c r="E103" s="565"/>
      <c r="F103" s="588"/>
      <c r="G103" s="568"/>
      <c r="H103" s="166"/>
      <c r="I103" s="22"/>
      <c r="J103" s="23"/>
      <c r="K103" s="583"/>
      <c r="L103" s="8"/>
      <c r="M103" s="8"/>
      <c r="N103" s="565"/>
      <c r="O103" s="8"/>
      <c r="P103" s="8"/>
    </row>
    <row r="104" spans="1:16" ht="12.75">
      <c r="A104" s="23">
        <f t="shared" si="2"/>
        <v>14</v>
      </c>
      <c r="B104" s="566" t="s">
        <v>449</v>
      </c>
      <c r="C104" s="8">
        <v>32</v>
      </c>
      <c r="D104" s="569"/>
      <c r="E104" s="565"/>
      <c r="F104" s="588"/>
      <c r="G104" s="568"/>
      <c r="H104" s="166"/>
      <c r="I104" s="22"/>
      <c r="J104" s="5"/>
      <c r="K104" s="611"/>
      <c r="L104" s="8"/>
      <c r="M104" s="8"/>
      <c r="N104" s="565"/>
      <c r="O104" s="609"/>
      <c r="P104" s="8"/>
    </row>
    <row r="105" spans="1:16" ht="12.75">
      <c r="A105" s="23">
        <f t="shared" si="2"/>
        <v>15</v>
      </c>
      <c r="B105" s="568" t="s">
        <v>440</v>
      </c>
      <c r="C105" s="8">
        <f>15*(1-C$10)</f>
        <v>15</v>
      </c>
      <c r="D105" s="569"/>
      <c r="E105" s="565"/>
      <c r="F105" s="588"/>
      <c r="G105" s="582"/>
      <c r="H105" s="166"/>
      <c r="I105" s="22"/>
      <c r="J105" s="5"/>
      <c r="K105" s="583"/>
      <c r="L105" s="8"/>
      <c r="M105" s="8"/>
      <c r="N105" s="5"/>
      <c r="O105" s="5"/>
      <c r="P105" s="8"/>
    </row>
    <row r="106" spans="1:16" ht="13.5" thickBot="1">
      <c r="A106" s="23">
        <f t="shared" si="2"/>
        <v>16</v>
      </c>
      <c r="B106" s="577" t="s">
        <v>442</v>
      </c>
      <c r="C106" s="578">
        <v>32</v>
      </c>
      <c r="D106" s="579">
        <f>SUM(C101:C106)</f>
        <v>174</v>
      </c>
      <c r="E106" s="565">
        <v>4</v>
      </c>
      <c r="F106" s="574"/>
      <c r="G106" s="582">
        <f>D106*E106</f>
        <v>696</v>
      </c>
      <c r="H106" s="166"/>
      <c r="I106" s="22"/>
      <c r="J106" s="5"/>
      <c r="K106" s="583"/>
      <c r="L106" s="8"/>
      <c r="M106" s="8"/>
      <c r="N106" s="5"/>
      <c r="O106" s="5"/>
      <c r="P106" s="8"/>
    </row>
    <row r="107" spans="1:16" ht="12.75">
      <c r="A107" s="23">
        <f t="shared" si="2"/>
        <v>17</v>
      </c>
      <c r="B107" s="559" t="s">
        <v>443</v>
      </c>
      <c r="C107" s="563">
        <v>10</v>
      </c>
      <c r="D107" s="564"/>
      <c r="E107" s="565"/>
      <c r="F107" s="574"/>
      <c r="G107" s="582"/>
      <c r="H107" s="166"/>
      <c r="I107" s="22"/>
      <c r="J107" s="5"/>
      <c r="K107" s="583"/>
      <c r="L107" s="8"/>
      <c r="M107" s="8"/>
      <c r="N107" s="5"/>
      <c r="O107" s="5"/>
      <c r="P107" s="8"/>
    </row>
    <row r="108" spans="1:16" ht="12.75">
      <c r="A108" s="23">
        <f t="shared" si="2"/>
        <v>18</v>
      </c>
      <c r="B108" s="566" t="s">
        <v>445</v>
      </c>
      <c r="C108" s="8">
        <v>20</v>
      </c>
      <c r="D108" s="569"/>
      <c r="E108" s="565"/>
      <c r="F108" s="574"/>
      <c r="G108" s="582"/>
      <c r="H108" s="166"/>
      <c r="I108" s="22"/>
      <c r="J108" s="5"/>
      <c r="K108" s="583"/>
      <c r="L108" s="8"/>
      <c r="M108" s="8"/>
      <c r="N108" s="5"/>
      <c r="O108" s="5"/>
      <c r="P108" s="8"/>
    </row>
    <row r="109" spans="1:16" ht="12.75">
      <c r="A109" s="23">
        <f t="shared" si="2"/>
        <v>19</v>
      </c>
      <c r="B109" s="566" t="s">
        <v>439</v>
      </c>
      <c r="C109" s="8">
        <v>10</v>
      </c>
      <c r="D109" s="569"/>
      <c r="E109" s="565"/>
      <c r="F109" s="574"/>
      <c r="G109" s="582"/>
      <c r="H109" s="166"/>
      <c r="I109" s="22"/>
      <c r="J109" s="5"/>
      <c r="K109" s="583"/>
      <c r="L109" s="8"/>
      <c r="M109" s="8"/>
      <c r="N109" s="5"/>
      <c r="O109" s="5"/>
      <c r="P109" s="8"/>
    </row>
    <row r="110" spans="1:16" ht="13.5" thickBot="1">
      <c r="A110" s="23">
        <f t="shared" si="2"/>
        <v>20</v>
      </c>
      <c r="B110" s="592" t="s">
        <v>441</v>
      </c>
      <c r="C110" s="578">
        <v>20</v>
      </c>
      <c r="D110" s="579">
        <f>SUM(C107:C110)</f>
        <v>60</v>
      </c>
      <c r="E110" s="612">
        <v>3</v>
      </c>
      <c r="F110" s="574"/>
      <c r="G110" s="582">
        <f>D110*E110</f>
        <v>180</v>
      </c>
      <c r="H110" s="166"/>
      <c r="I110" s="22"/>
      <c r="J110" s="5"/>
      <c r="K110" s="583"/>
      <c r="L110" s="8"/>
      <c r="M110" s="8"/>
      <c r="N110" s="5"/>
      <c r="O110" s="5"/>
      <c r="P110" s="8"/>
    </row>
    <row r="111" spans="1:16" ht="12.75">
      <c r="A111" s="23">
        <f t="shared" si="2"/>
        <v>21</v>
      </c>
      <c r="B111" s="559" t="s">
        <v>444</v>
      </c>
      <c r="C111" s="563">
        <v>40</v>
      </c>
      <c r="D111" s="564"/>
      <c r="E111" s="565"/>
      <c r="F111" s="574"/>
      <c r="G111" s="582"/>
      <c r="H111" s="166"/>
      <c r="I111" s="22"/>
      <c r="J111" s="5"/>
      <c r="K111" s="583"/>
      <c r="L111" s="8"/>
      <c r="M111" s="8"/>
      <c r="N111" s="5"/>
      <c r="O111" s="5"/>
      <c r="P111" s="8"/>
    </row>
    <row r="112" spans="1:16" ht="12.75">
      <c r="A112" s="23">
        <f t="shared" si="2"/>
        <v>22</v>
      </c>
      <c r="B112" s="568" t="s">
        <v>446</v>
      </c>
      <c r="C112" s="8">
        <f>15*(1-C$10)</f>
        <v>15</v>
      </c>
      <c r="D112" s="569"/>
      <c r="E112" s="565"/>
      <c r="F112" s="574"/>
      <c r="G112" s="582"/>
      <c r="H112" s="166"/>
      <c r="I112" s="22"/>
      <c r="J112" s="5"/>
      <c r="K112" s="583"/>
      <c r="L112" s="8"/>
      <c r="M112" s="8"/>
      <c r="N112" s="5"/>
      <c r="O112" s="5"/>
      <c r="P112" s="8"/>
    </row>
    <row r="113" spans="1:16" ht="12.75">
      <c r="A113" s="23">
        <f t="shared" si="2"/>
        <v>23</v>
      </c>
      <c r="B113" s="568" t="s">
        <v>448</v>
      </c>
      <c r="C113" s="8">
        <v>40</v>
      </c>
      <c r="D113" s="569"/>
      <c r="E113" s="565"/>
      <c r="F113" s="574"/>
      <c r="G113" s="582"/>
      <c r="H113" s="166"/>
      <c r="I113" s="22"/>
      <c r="J113" s="5"/>
      <c r="K113" s="583"/>
      <c r="L113" s="8"/>
      <c r="M113" s="8"/>
      <c r="N113" s="5"/>
      <c r="O113" s="5"/>
      <c r="P113" s="8"/>
    </row>
    <row r="114" spans="1:16" ht="12.75">
      <c r="A114" s="23">
        <f t="shared" si="2"/>
        <v>24</v>
      </c>
      <c r="B114" s="566" t="s">
        <v>450</v>
      </c>
      <c r="C114" s="8">
        <v>4</v>
      </c>
      <c r="D114" s="569"/>
      <c r="E114" s="565"/>
      <c r="F114" s="574"/>
      <c r="G114" s="582"/>
      <c r="H114" s="166"/>
      <c r="I114" s="22"/>
      <c r="J114" s="5"/>
      <c r="K114" s="583"/>
      <c r="L114" s="8"/>
      <c r="M114" s="8"/>
      <c r="N114" s="5"/>
      <c r="O114" s="5"/>
      <c r="P114" s="8"/>
    </row>
    <row r="115" spans="1:16" ht="13.5" thickBot="1">
      <c r="A115" s="23">
        <f t="shared" si="2"/>
        <v>25</v>
      </c>
      <c r="B115" s="577" t="s">
        <v>451</v>
      </c>
      <c r="C115" s="578">
        <f>15*(1-C$10)</f>
        <v>15</v>
      </c>
      <c r="D115" s="579">
        <f>SUM(C111:C115)</f>
        <v>114</v>
      </c>
      <c r="E115" s="613">
        <v>1</v>
      </c>
      <c r="F115" s="574"/>
      <c r="G115" s="582">
        <f>D115*E115</f>
        <v>114</v>
      </c>
      <c r="H115" s="166"/>
      <c r="I115" s="22"/>
      <c r="J115" s="5"/>
      <c r="K115" s="583"/>
      <c r="L115" s="8"/>
      <c r="M115" s="8"/>
      <c r="N115" s="5"/>
      <c r="O115" s="5"/>
      <c r="P115" s="8"/>
    </row>
    <row r="116" spans="1:16" ht="12.75">
      <c r="A116" s="5"/>
      <c r="B116" s="580"/>
      <c r="C116" s="581"/>
      <c r="D116" s="581"/>
      <c r="E116" s="8"/>
      <c r="F116" s="574"/>
      <c r="G116" s="582"/>
      <c r="H116" s="166"/>
      <c r="I116" s="22"/>
      <c r="J116" s="5"/>
      <c r="K116" s="583"/>
      <c r="L116" s="8"/>
      <c r="M116" s="8"/>
      <c r="N116" s="5"/>
      <c r="O116" s="5"/>
      <c r="P116" s="8"/>
    </row>
    <row r="117" spans="1:16" ht="12.75">
      <c r="A117" s="5"/>
      <c r="B117" s="583"/>
      <c r="C117" s="8"/>
      <c r="D117" s="8"/>
      <c r="E117" s="8"/>
      <c r="F117" s="574"/>
      <c r="G117" s="582"/>
      <c r="H117" s="166"/>
      <c r="I117" s="22"/>
      <c r="J117" s="5"/>
      <c r="K117" s="583"/>
      <c r="L117" s="8"/>
      <c r="M117" s="8"/>
      <c r="N117" s="5"/>
      <c r="O117" s="5"/>
      <c r="P117" s="8"/>
    </row>
    <row r="118" spans="1:16" ht="12.75">
      <c r="A118" s="5"/>
      <c r="B118" s="583"/>
      <c r="C118" s="8"/>
      <c r="D118" s="8"/>
      <c r="E118" s="8"/>
      <c r="F118" s="574"/>
      <c r="G118" s="582"/>
      <c r="H118" s="166"/>
      <c r="I118" s="22"/>
      <c r="J118" s="5"/>
      <c r="K118" s="583"/>
      <c r="L118" s="8"/>
      <c r="M118" s="8"/>
      <c r="N118" s="5"/>
      <c r="O118" s="5"/>
      <c r="P118" s="8"/>
    </row>
    <row r="119" spans="1:16" ht="12.75">
      <c r="A119" s="5"/>
      <c r="B119" s="583"/>
      <c r="C119" s="8"/>
      <c r="D119" s="8"/>
      <c r="E119" s="8"/>
      <c r="F119" s="574"/>
      <c r="G119" s="582"/>
      <c r="H119" s="166"/>
      <c r="I119" s="22"/>
      <c r="J119" s="5"/>
      <c r="K119" s="583"/>
      <c r="L119" s="8"/>
      <c r="M119" s="8"/>
      <c r="N119" s="5"/>
      <c r="O119" s="5"/>
      <c r="P119" s="8"/>
    </row>
    <row r="120" spans="1:16" ht="15.75">
      <c r="A120" s="198"/>
      <c r="B120" s="553"/>
      <c r="C120" s="581"/>
      <c r="D120" s="581"/>
      <c r="E120" s="554"/>
      <c r="F120" s="607"/>
      <c r="G120" s="568"/>
      <c r="H120" s="166"/>
      <c r="I120" s="22"/>
      <c r="J120" s="5"/>
      <c r="K120" s="5"/>
      <c r="L120" s="5"/>
      <c r="M120" s="5"/>
      <c r="N120" s="5"/>
      <c r="O120" s="5"/>
      <c r="P120" s="585">
        <f>SUM(P97:P119)</f>
        <v>1050</v>
      </c>
    </row>
    <row r="121" spans="1:16" ht="16.5" thickBot="1">
      <c r="A121" s="23"/>
      <c r="B121" s="5"/>
      <c r="C121" s="8"/>
      <c r="D121" s="554"/>
      <c r="E121" s="574"/>
      <c r="F121" s="610"/>
      <c r="G121" s="577"/>
      <c r="H121" s="614">
        <f>SUM(G97:G121)</f>
        <v>1084</v>
      </c>
      <c r="I121" s="615"/>
      <c r="P121" s="9"/>
    </row>
    <row r="122" spans="4:7" ht="15.75">
      <c r="D122" s="28" t="s">
        <v>416</v>
      </c>
      <c r="E122" s="3" t="s">
        <v>417</v>
      </c>
      <c r="F122" s="585">
        <f>SUM(F90:F121)</f>
        <v>600</v>
      </c>
      <c r="G122" s="585">
        <f>SUM(G90:G121)</f>
        <v>1084</v>
      </c>
    </row>
    <row r="123" spans="5:7" ht="15.75">
      <c r="E123" s="3" t="s">
        <v>418</v>
      </c>
      <c r="F123" s="585">
        <f>+F122/60</f>
        <v>10</v>
      </c>
      <c r="G123" s="585">
        <f>+G122/60</f>
        <v>18.066666666666666</v>
      </c>
    </row>
    <row r="125" ht="15.75">
      <c r="B125" s="28" t="s">
        <v>452</v>
      </c>
    </row>
    <row r="126" spans="6:7" ht="12.75">
      <c r="F126" s="1058" t="s">
        <v>432</v>
      </c>
      <c r="G126" s="1059"/>
    </row>
    <row r="127" spans="1:16" ht="22.5">
      <c r="A127" s="1002" t="s">
        <v>390</v>
      </c>
      <c r="B127" s="1003"/>
      <c r="C127" s="604" t="s">
        <v>391</v>
      </c>
      <c r="D127" s="604" t="s">
        <v>392</v>
      </c>
      <c r="E127" s="604" t="s">
        <v>393</v>
      </c>
      <c r="F127" s="604" t="s">
        <v>394</v>
      </c>
      <c r="G127" s="605" t="s">
        <v>395</v>
      </c>
      <c r="J127" s="1002" t="s">
        <v>390</v>
      </c>
      <c r="K127" s="1003"/>
      <c r="L127" s="604" t="s">
        <v>391</v>
      </c>
      <c r="M127" s="604" t="s">
        <v>392</v>
      </c>
      <c r="N127" s="604" t="s">
        <v>393</v>
      </c>
      <c r="O127" s="604" t="s">
        <v>394</v>
      </c>
      <c r="P127" s="605" t="s">
        <v>395</v>
      </c>
    </row>
    <row r="128" spans="1:16" ht="15.75">
      <c r="A128" s="543"/>
      <c r="B128" s="606" t="s">
        <v>433</v>
      </c>
      <c r="C128" s="17"/>
      <c r="D128" s="17"/>
      <c r="E128" s="673">
        <f>E87</f>
        <v>40</v>
      </c>
      <c r="F128" s="17"/>
      <c r="G128" s="5"/>
      <c r="J128" s="29"/>
      <c r="L128" s="17"/>
      <c r="M128" s="606" t="s">
        <v>433</v>
      </c>
      <c r="N128" s="673">
        <f>E87</f>
        <v>40</v>
      </c>
      <c r="O128" s="17"/>
      <c r="P128" s="5"/>
    </row>
    <row r="129" spans="1:16" ht="12.75">
      <c r="A129" s="549" t="s">
        <v>397</v>
      </c>
      <c r="B129" s="17" t="s">
        <v>398</v>
      </c>
      <c r="C129" s="54"/>
      <c r="D129" s="54"/>
      <c r="E129" s="54"/>
      <c r="F129" s="54"/>
      <c r="G129" s="5"/>
      <c r="J129" s="549" t="s">
        <v>397</v>
      </c>
      <c r="K129" s="11" t="s">
        <v>398</v>
      </c>
      <c r="L129" s="54"/>
      <c r="M129" s="54"/>
      <c r="N129" s="54"/>
      <c r="O129" s="54"/>
      <c r="P129" s="5"/>
    </row>
    <row r="130" spans="1:16" ht="12.75">
      <c r="A130" s="549"/>
      <c r="B130" s="552" t="s">
        <v>399</v>
      </c>
      <c r="C130" s="54"/>
      <c r="D130" s="54"/>
      <c r="E130" s="54"/>
      <c r="F130" s="54"/>
      <c r="G130" s="5"/>
      <c r="J130" s="549"/>
      <c r="K130" s="11"/>
      <c r="L130" s="54"/>
      <c r="M130" s="54"/>
      <c r="N130" s="54"/>
      <c r="O130" s="54"/>
      <c r="P130" s="5"/>
    </row>
    <row r="131" spans="1:16" ht="12.75">
      <c r="A131" s="553">
        <v>1</v>
      </c>
      <c r="B131" s="54" t="s">
        <v>400</v>
      </c>
      <c r="C131" s="554">
        <v>60</v>
      </c>
      <c r="D131" s="554">
        <f aca="true" t="shared" si="3" ref="D131:D136">+C131</f>
        <v>60</v>
      </c>
      <c r="E131" s="554">
        <v>2</v>
      </c>
      <c r="F131" s="555">
        <f aca="true" t="shared" si="4" ref="F131:F136">+D131*E131</f>
        <v>120</v>
      </c>
      <c r="G131" s="5"/>
      <c r="J131" s="5"/>
      <c r="K131" s="5"/>
      <c r="L131" s="5"/>
      <c r="M131" s="5"/>
      <c r="N131" s="5"/>
      <c r="O131" s="5"/>
      <c r="P131" s="5"/>
    </row>
    <row r="132" spans="1:16" ht="12.75">
      <c r="A132" s="553">
        <v>2</v>
      </c>
      <c r="B132" s="54" t="s">
        <v>401</v>
      </c>
      <c r="C132" s="554">
        <v>120</v>
      </c>
      <c r="D132" s="554">
        <f t="shared" si="3"/>
        <v>120</v>
      </c>
      <c r="E132" s="554">
        <v>2</v>
      </c>
      <c r="F132" s="555">
        <f t="shared" si="4"/>
        <v>240</v>
      </c>
      <c r="G132" s="5"/>
      <c r="J132" s="5"/>
      <c r="K132" s="5"/>
      <c r="L132" s="5"/>
      <c r="M132" s="5"/>
      <c r="N132" s="5"/>
      <c r="O132" s="5"/>
      <c r="P132" s="5"/>
    </row>
    <row r="133" spans="1:16" ht="12.75">
      <c r="A133" s="553">
        <v>3</v>
      </c>
      <c r="B133" s="54" t="s">
        <v>402</v>
      </c>
      <c r="C133" s="554">
        <v>30</v>
      </c>
      <c r="D133" s="554">
        <f t="shared" si="3"/>
        <v>30</v>
      </c>
      <c r="E133" s="554">
        <v>1</v>
      </c>
      <c r="F133" s="555">
        <f t="shared" si="4"/>
        <v>30</v>
      </c>
      <c r="G133" s="5"/>
      <c r="J133" s="5"/>
      <c r="K133" s="5"/>
      <c r="L133" s="5"/>
      <c r="M133" s="5"/>
      <c r="N133" s="5"/>
      <c r="O133" s="5"/>
      <c r="P133" s="5"/>
    </row>
    <row r="134" spans="1:16" ht="12.75">
      <c r="A134" s="553">
        <v>4</v>
      </c>
      <c r="B134" s="5" t="s">
        <v>453</v>
      </c>
      <c r="C134" s="8">
        <v>60</v>
      </c>
      <c r="D134" s="554">
        <f t="shared" si="3"/>
        <v>60</v>
      </c>
      <c r="E134" s="554">
        <v>2</v>
      </c>
      <c r="F134" s="555">
        <f t="shared" si="4"/>
        <v>120</v>
      </c>
      <c r="G134" s="5"/>
      <c r="J134" s="5"/>
      <c r="K134" s="5"/>
      <c r="L134" s="5"/>
      <c r="M134" s="5"/>
      <c r="N134" s="5"/>
      <c r="O134" s="5"/>
      <c r="P134" s="5"/>
    </row>
    <row r="135" spans="1:16" ht="12.75">
      <c r="A135" s="553">
        <v>5</v>
      </c>
      <c r="B135" s="5" t="s">
        <v>435</v>
      </c>
      <c r="C135" s="8">
        <f>15*(1-C$10)</f>
        <v>15</v>
      </c>
      <c r="D135" s="554">
        <f t="shared" si="3"/>
        <v>15</v>
      </c>
      <c r="E135" s="554">
        <v>2</v>
      </c>
      <c r="F135" s="555">
        <f t="shared" si="4"/>
        <v>30</v>
      </c>
      <c r="G135" s="570"/>
      <c r="J135" s="5"/>
      <c r="K135" s="5"/>
      <c r="L135" s="5"/>
      <c r="M135" s="5"/>
      <c r="N135" s="5"/>
      <c r="O135" s="5"/>
      <c r="P135" s="5"/>
    </row>
    <row r="136" spans="1:16" ht="12.75">
      <c r="A136" s="553">
        <v>6</v>
      </c>
      <c r="B136" s="5" t="s">
        <v>403</v>
      </c>
      <c r="C136" s="8">
        <v>30</v>
      </c>
      <c r="D136" s="554">
        <f t="shared" si="3"/>
        <v>30</v>
      </c>
      <c r="E136" s="8">
        <v>2</v>
      </c>
      <c r="F136" s="609">
        <f t="shared" si="4"/>
        <v>60</v>
      </c>
      <c r="G136" s="570"/>
      <c r="J136" s="5"/>
      <c r="K136" s="5"/>
      <c r="L136" s="5"/>
      <c r="M136" s="5"/>
      <c r="N136" s="5"/>
      <c r="O136" s="5"/>
      <c r="P136" s="8"/>
    </row>
    <row r="137" spans="1:16" ht="13.5" thickBot="1">
      <c r="A137" s="553">
        <v>7</v>
      </c>
      <c r="B137" s="587" t="s">
        <v>454</v>
      </c>
      <c r="C137" s="558"/>
      <c r="D137" s="557"/>
      <c r="E137" s="8"/>
      <c r="F137" s="610"/>
      <c r="G137" s="114"/>
      <c r="J137" s="5"/>
      <c r="K137" s="611"/>
      <c r="L137" s="5"/>
      <c r="M137" s="5"/>
      <c r="N137" s="5"/>
      <c r="O137" s="24"/>
      <c r="P137" s="8"/>
    </row>
    <row r="138" spans="1:16" ht="12.75">
      <c r="A138" s="553">
        <v>8</v>
      </c>
      <c r="B138" s="562" t="s">
        <v>455</v>
      </c>
      <c r="C138" s="563">
        <f>15*(1-C$10)</f>
        <v>15</v>
      </c>
      <c r="D138" s="561"/>
      <c r="E138" s="565"/>
      <c r="F138" s="610"/>
      <c r="G138" s="562"/>
      <c r="H138" s="576"/>
      <c r="I138" s="22"/>
      <c r="J138" s="5"/>
      <c r="K138" s="616"/>
      <c r="L138" s="8"/>
      <c r="M138" s="8"/>
      <c r="N138" s="8"/>
      <c r="O138" s="617"/>
      <c r="P138" s="8"/>
    </row>
    <row r="139" spans="1:16" ht="12.75">
      <c r="A139" s="553">
        <v>9</v>
      </c>
      <c r="B139" s="618" t="s">
        <v>456</v>
      </c>
      <c r="C139" s="8">
        <v>20</v>
      </c>
      <c r="D139" s="567"/>
      <c r="E139" s="565"/>
      <c r="F139" s="610"/>
      <c r="G139" s="568"/>
      <c r="H139" s="166"/>
      <c r="I139" s="22"/>
      <c r="J139" s="5"/>
      <c r="K139" s="616"/>
      <c r="L139" s="8"/>
      <c r="M139" s="8"/>
      <c r="N139" s="8"/>
      <c r="O139" s="565"/>
      <c r="P139" s="8"/>
    </row>
    <row r="140" spans="1:16" ht="12.75">
      <c r="A140" s="553">
        <v>10</v>
      </c>
      <c r="B140" s="568" t="s">
        <v>440</v>
      </c>
      <c r="C140" s="8">
        <f>15*(1-C$10)</f>
        <v>15</v>
      </c>
      <c r="D140" s="569"/>
      <c r="E140" s="565"/>
      <c r="F140" s="610"/>
      <c r="G140" s="619"/>
      <c r="H140" s="166"/>
      <c r="I140" s="22"/>
      <c r="J140" s="5"/>
      <c r="K140" s="616"/>
      <c r="L140" s="8"/>
      <c r="M140" s="8"/>
      <c r="N140" s="8"/>
      <c r="O140" s="8"/>
      <c r="P140" s="8"/>
    </row>
    <row r="141" spans="1:16" ht="13.5" thickBot="1">
      <c r="A141" s="553">
        <v>11</v>
      </c>
      <c r="B141" s="577" t="s">
        <v>442</v>
      </c>
      <c r="C141" s="578">
        <v>20</v>
      </c>
      <c r="D141" s="579">
        <f>SUM(C138:C141)</f>
        <v>70</v>
      </c>
      <c r="E141" s="565">
        <f>+E$128/8</f>
        <v>5</v>
      </c>
      <c r="F141" s="610"/>
      <c r="G141" s="568">
        <f>+E141*D141</f>
        <v>350</v>
      </c>
      <c r="H141" s="620"/>
      <c r="I141" s="25"/>
      <c r="J141" s="5"/>
      <c r="K141" s="616"/>
      <c r="L141" s="621"/>
      <c r="M141" s="8"/>
      <c r="N141" s="5"/>
      <c r="O141" s="5"/>
      <c r="P141" s="5">
        <f>+N141*M141</f>
        <v>0</v>
      </c>
    </row>
    <row r="142" spans="1:16" ht="12.75">
      <c r="A142" s="553">
        <v>12</v>
      </c>
      <c r="B142" s="622" t="s">
        <v>439</v>
      </c>
      <c r="C142" s="563">
        <v>10</v>
      </c>
      <c r="D142" s="564"/>
      <c r="E142" s="565"/>
      <c r="F142" s="610"/>
      <c r="G142" s="568"/>
      <c r="H142" s="620"/>
      <c r="I142" s="25"/>
      <c r="J142" s="5"/>
      <c r="K142" s="616"/>
      <c r="L142" s="621"/>
      <c r="M142" s="8"/>
      <c r="N142" s="5"/>
      <c r="O142" s="24"/>
      <c r="P142" s="5"/>
    </row>
    <row r="143" spans="1:16" ht="12.75">
      <c r="A143" s="553">
        <v>13</v>
      </c>
      <c r="B143" s="618" t="s">
        <v>457</v>
      </c>
      <c r="C143" s="8">
        <v>20</v>
      </c>
      <c r="D143" s="569"/>
      <c r="E143" s="565"/>
      <c r="F143" s="610"/>
      <c r="G143" s="568"/>
      <c r="H143" s="620"/>
      <c r="I143" s="25"/>
      <c r="J143" s="5"/>
      <c r="K143" s="616"/>
      <c r="L143" s="621"/>
      <c r="M143" s="8"/>
      <c r="N143" s="5"/>
      <c r="O143" s="24"/>
      <c r="P143" s="5"/>
    </row>
    <row r="144" spans="1:16" ht="13.5" thickBot="1">
      <c r="A144" s="553">
        <v>14</v>
      </c>
      <c r="B144" s="618" t="s">
        <v>458</v>
      </c>
      <c r="C144" s="8">
        <v>10</v>
      </c>
      <c r="D144" s="569"/>
      <c r="E144" s="565"/>
      <c r="F144" s="610"/>
      <c r="G144" s="619"/>
      <c r="H144" s="623"/>
      <c r="I144" s="624"/>
      <c r="J144" s="5"/>
      <c r="K144" s="5" t="s">
        <v>459</v>
      </c>
      <c r="L144" s="8">
        <v>600</v>
      </c>
      <c r="M144" s="8">
        <f>+L144</f>
        <v>600</v>
      </c>
      <c r="N144" s="8">
        <v>1</v>
      </c>
      <c r="O144" s="610">
        <f>+M144*N144</f>
        <v>600</v>
      </c>
      <c r="P144" s="5"/>
    </row>
    <row r="145" spans="1:16" ht="13.5" thickBot="1">
      <c r="A145" s="553">
        <v>15</v>
      </c>
      <c r="B145" s="625" t="s">
        <v>460</v>
      </c>
      <c r="C145" s="626">
        <v>10</v>
      </c>
      <c r="D145" s="579">
        <f>SUM(C142:C145)</f>
        <v>50</v>
      </c>
      <c r="E145" s="24">
        <f>+E128/4</f>
        <v>10</v>
      </c>
      <c r="F145" s="610"/>
      <c r="G145" s="562">
        <f>+E145*D145</f>
        <v>500</v>
      </c>
      <c r="H145" s="627"/>
      <c r="I145" s="400"/>
      <c r="J145" s="5"/>
      <c r="K145" s="616"/>
      <c r="L145" s="621"/>
      <c r="M145" s="8"/>
      <c r="N145" s="5"/>
      <c r="O145" s="24"/>
      <c r="P145" s="5"/>
    </row>
    <row r="146" spans="1:16" ht="12.75">
      <c r="A146" s="553">
        <v>17</v>
      </c>
      <c r="B146" s="622" t="s">
        <v>461</v>
      </c>
      <c r="C146" s="563">
        <v>10</v>
      </c>
      <c r="D146" s="564"/>
      <c r="E146" s="565"/>
      <c r="F146" s="610"/>
      <c r="G146" s="568"/>
      <c r="H146" s="166"/>
      <c r="I146" s="22"/>
      <c r="J146" s="5"/>
      <c r="K146" s="616"/>
      <c r="L146" s="621"/>
      <c r="M146" s="8"/>
      <c r="N146" s="5"/>
      <c r="O146" s="24"/>
      <c r="P146" s="5"/>
    </row>
    <row r="147" spans="1:16" ht="12.75">
      <c r="A147" s="553">
        <v>18</v>
      </c>
      <c r="B147" s="618" t="s">
        <v>443</v>
      </c>
      <c r="C147" s="8">
        <v>10</v>
      </c>
      <c r="D147" s="569"/>
      <c r="E147" s="565"/>
      <c r="F147" s="610"/>
      <c r="G147" s="568"/>
      <c r="H147" s="166"/>
      <c r="I147" s="22"/>
      <c r="J147" s="5"/>
      <c r="K147" s="616"/>
      <c r="L147" s="621"/>
      <c r="M147" s="8"/>
      <c r="N147" s="5"/>
      <c r="O147" s="24"/>
      <c r="P147" s="5"/>
    </row>
    <row r="148" spans="1:16" ht="13.5" thickBot="1">
      <c r="A148" s="553">
        <v>19</v>
      </c>
      <c r="B148" s="625" t="s">
        <v>462</v>
      </c>
      <c r="C148" s="578">
        <v>15</v>
      </c>
      <c r="D148" s="579">
        <f>SUM(C146:C148)</f>
        <v>35</v>
      </c>
      <c r="E148" s="565">
        <f>E128/4</f>
        <v>10</v>
      </c>
      <c r="F148" s="610"/>
      <c r="G148" s="577">
        <f>+E148*D148</f>
        <v>350</v>
      </c>
      <c r="H148" s="201">
        <f>SUM(G145:G148)</f>
        <v>850</v>
      </c>
      <c r="I148" s="22"/>
      <c r="J148" s="5"/>
      <c r="K148" s="616"/>
      <c r="L148" s="621"/>
      <c r="M148" s="8"/>
      <c r="N148" s="5"/>
      <c r="O148" s="24"/>
      <c r="P148" s="5"/>
    </row>
    <row r="149" spans="1:16" ht="13.5" thickBot="1">
      <c r="A149" s="553">
        <v>20</v>
      </c>
      <c r="B149" s="628" t="s">
        <v>463</v>
      </c>
      <c r="C149" s="629"/>
      <c r="D149" s="629"/>
      <c r="E149" s="565"/>
      <c r="F149" s="610">
        <v>0</v>
      </c>
      <c r="G149" s="630"/>
      <c r="H149" s="166"/>
      <c r="I149" s="22"/>
      <c r="J149" s="5"/>
      <c r="K149" s="616"/>
      <c r="L149" s="621"/>
      <c r="M149" s="8"/>
      <c r="N149" s="5"/>
      <c r="O149" s="24"/>
      <c r="P149" s="5"/>
    </row>
    <row r="150" spans="1:16" ht="12.75">
      <c r="A150" s="23">
        <f>+A141+1</f>
        <v>12</v>
      </c>
      <c r="B150" s="622" t="s">
        <v>464</v>
      </c>
      <c r="C150" s="563">
        <v>16</v>
      </c>
      <c r="D150" s="564"/>
      <c r="E150" s="565"/>
      <c r="F150" s="588"/>
      <c r="G150" s="568"/>
      <c r="H150" s="166"/>
      <c r="I150" s="22"/>
      <c r="J150" s="5"/>
      <c r="K150" s="616"/>
      <c r="L150" s="8"/>
      <c r="M150" s="8"/>
      <c r="N150" s="8"/>
      <c r="O150" s="617"/>
      <c r="P150" s="8"/>
    </row>
    <row r="151" spans="1:16" ht="12.75">
      <c r="A151" s="23">
        <f>+A150+1</f>
        <v>13</v>
      </c>
      <c r="B151" s="568" t="s">
        <v>446</v>
      </c>
      <c r="C151" s="8">
        <f>15*(1-C$10)</f>
        <v>15</v>
      </c>
      <c r="D151" s="569"/>
      <c r="E151" s="565"/>
      <c r="F151" s="588"/>
      <c r="G151" s="582"/>
      <c r="H151" s="166"/>
      <c r="I151" s="22"/>
      <c r="J151" s="5"/>
      <c r="K151" s="616"/>
      <c r="L151" s="8"/>
      <c r="M151" s="8"/>
      <c r="N151" s="8"/>
      <c r="O151" s="617"/>
      <c r="P151" s="8"/>
    </row>
    <row r="152" spans="1:16" ht="12.75">
      <c r="A152" s="23">
        <f>+A151+1</f>
        <v>14</v>
      </c>
      <c r="B152" s="568" t="s">
        <v>448</v>
      </c>
      <c r="C152" s="8">
        <v>20</v>
      </c>
      <c r="D152" s="569"/>
      <c r="E152" s="565"/>
      <c r="F152" s="588"/>
      <c r="G152" s="568"/>
      <c r="H152" s="166"/>
      <c r="I152" s="22"/>
      <c r="J152" s="5"/>
      <c r="K152" s="616"/>
      <c r="L152" s="8"/>
      <c r="M152" s="8"/>
      <c r="N152" s="5"/>
      <c r="O152" s="617"/>
      <c r="P152" s="5">
        <f>+N152*M152</f>
        <v>0</v>
      </c>
    </row>
    <row r="153" spans="1:16" ht="15.75">
      <c r="A153" s="23">
        <f>+A152+1</f>
        <v>15</v>
      </c>
      <c r="B153" s="618" t="s">
        <v>465</v>
      </c>
      <c r="C153" s="8">
        <v>16</v>
      </c>
      <c r="D153" s="569"/>
      <c r="E153" s="565"/>
      <c r="F153" s="588"/>
      <c r="G153" s="631"/>
      <c r="H153" s="166"/>
      <c r="I153" s="22"/>
      <c r="J153" s="5"/>
      <c r="K153" s="616"/>
      <c r="L153" s="8"/>
      <c r="M153" s="8"/>
      <c r="N153" s="8"/>
      <c r="O153" s="617"/>
      <c r="P153" s="8"/>
    </row>
    <row r="154" spans="1:16" ht="13.5" thickBot="1">
      <c r="A154" s="23">
        <f>+A153+1</f>
        <v>16</v>
      </c>
      <c r="B154" s="577" t="s">
        <v>466</v>
      </c>
      <c r="C154" s="578">
        <f>15*(1-C$10)</f>
        <v>15</v>
      </c>
      <c r="D154" s="579">
        <f>SUM(C150:C154)</f>
        <v>82</v>
      </c>
      <c r="E154" s="565">
        <f>+E128/8</f>
        <v>5</v>
      </c>
      <c r="F154" s="588"/>
      <c r="G154" s="632">
        <f>+E154*D154</f>
        <v>410</v>
      </c>
      <c r="H154" s="166"/>
      <c r="I154" s="22"/>
      <c r="J154" s="5"/>
      <c r="K154" s="616"/>
      <c r="L154" s="8"/>
      <c r="M154" s="8"/>
      <c r="N154" s="8"/>
      <c r="O154" s="617"/>
      <c r="P154" s="8"/>
    </row>
    <row r="155" spans="1:16" ht="15.75">
      <c r="A155" s="23"/>
      <c r="B155" s="5"/>
      <c r="C155" s="8"/>
      <c r="D155" s="581"/>
      <c r="E155" s="574"/>
      <c r="F155" s="610"/>
      <c r="G155" s="568"/>
      <c r="H155" s="166"/>
      <c r="I155" s="22"/>
      <c r="J155" s="5"/>
      <c r="K155" s="5"/>
      <c r="L155" s="5"/>
      <c r="M155" s="5"/>
      <c r="N155" s="5"/>
      <c r="O155" s="24"/>
      <c r="P155" s="585">
        <f>SUM(P138:P154)</f>
        <v>0</v>
      </c>
    </row>
    <row r="156" spans="1:9" ht="12.75">
      <c r="A156" s="23"/>
      <c r="B156" s="616"/>
      <c r="C156" s="554"/>
      <c r="D156" s="581"/>
      <c r="E156" s="574"/>
      <c r="F156" s="610"/>
      <c r="G156" s="568"/>
      <c r="H156" s="166"/>
      <c r="I156" s="22"/>
    </row>
    <row r="157" spans="1:9" ht="16.5" thickBot="1">
      <c r="A157" s="23"/>
      <c r="B157" s="5"/>
      <c r="C157" s="8"/>
      <c r="D157" s="554"/>
      <c r="E157" s="574"/>
      <c r="F157" s="610"/>
      <c r="G157" s="577"/>
      <c r="H157" s="614">
        <f>SUM(G138:G157)</f>
        <v>1610</v>
      </c>
      <c r="I157" s="615"/>
    </row>
    <row r="158" spans="4:7" ht="15.75">
      <c r="D158" s="468" t="s">
        <v>416</v>
      </c>
      <c r="E158" s="3" t="s">
        <v>417</v>
      </c>
      <c r="F158" s="585">
        <f>SUM(F131:F157)</f>
        <v>600</v>
      </c>
      <c r="G158" s="585">
        <f>SUM(G131:G157)</f>
        <v>1610</v>
      </c>
    </row>
    <row r="159" spans="4:7" ht="15.75">
      <c r="D159" s="235"/>
      <c r="E159" s="3" t="s">
        <v>418</v>
      </c>
      <c r="F159" s="585">
        <f>+F158/60</f>
        <v>10</v>
      </c>
      <c r="G159" s="585">
        <f>+G158/60</f>
        <v>26.833333333333332</v>
      </c>
    </row>
    <row r="160" ht="12.75">
      <c r="D160" s="235"/>
    </row>
    <row r="161" spans="4:8" ht="15.75">
      <c r="D161" s="596" t="s">
        <v>424</v>
      </c>
      <c r="E161" s="3" t="s">
        <v>417</v>
      </c>
      <c r="F161" s="597">
        <f>+F158+F122</f>
        <v>1200</v>
      </c>
      <c r="H161" s="672" t="s">
        <v>490</v>
      </c>
    </row>
    <row r="162" spans="4:11" ht="18">
      <c r="D162" s="468"/>
      <c r="E162" s="3" t="s">
        <v>418</v>
      </c>
      <c r="F162" s="598">
        <f>+F161/60</f>
        <v>20</v>
      </c>
      <c r="H162" s="599" t="s">
        <v>425</v>
      </c>
      <c r="I162" s="633"/>
      <c r="J162" s="600">
        <f>ROUNDUP(F162*1.25,0)</f>
        <v>25</v>
      </c>
      <c r="K162" s="603" t="s">
        <v>418</v>
      </c>
    </row>
    <row r="163" spans="4:9" ht="15.75">
      <c r="D163" s="468"/>
      <c r="H163" s="157"/>
      <c r="I163" s="157"/>
    </row>
    <row r="164" spans="4:9" ht="15.75">
      <c r="D164" s="468" t="s">
        <v>426</v>
      </c>
      <c r="F164" s="3" t="s">
        <v>417</v>
      </c>
      <c r="G164" s="585">
        <f>+G158+G122</f>
        <v>2694</v>
      </c>
      <c r="H164" s="157"/>
      <c r="I164" s="157"/>
    </row>
    <row r="165" spans="4:9" ht="15.75">
      <c r="D165" s="235"/>
      <c r="F165" s="3" t="s">
        <v>418</v>
      </c>
      <c r="G165" s="585">
        <f>+G164/60</f>
        <v>44.9</v>
      </c>
      <c r="H165" s="157"/>
      <c r="I165" s="157"/>
    </row>
    <row r="166" spans="4:9" ht="15">
      <c r="D166" s="235"/>
      <c r="H166" s="157"/>
      <c r="I166" s="157"/>
    </row>
    <row r="167" spans="4:9" ht="15.75">
      <c r="D167" s="596" t="s">
        <v>467</v>
      </c>
      <c r="F167" s="3" t="s">
        <v>417</v>
      </c>
      <c r="G167" s="597">
        <f>+G164/E$87</f>
        <v>67.35</v>
      </c>
      <c r="H167" s="157"/>
      <c r="I167" s="157"/>
    </row>
    <row r="168" spans="6:11" ht="18">
      <c r="F168" s="3" t="s">
        <v>418</v>
      </c>
      <c r="G168" s="602">
        <f>+G167/60</f>
        <v>1.1224999999999998</v>
      </c>
      <c r="H168" s="599" t="s">
        <v>425</v>
      </c>
      <c r="I168" s="633"/>
      <c r="J168" s="600">
        <f>ROUNDUP(+G168*1.25,1)</f>
        <v>1.5</v>
      </c>
      <c r="K168" s="603" t="s">
        <v>418</v>
      </c>
    </row>
    <row r="170" spans="1:16" ht="15" customHeight="1" thickBot="1">
      <c r="A170" s="309"/>
      <c r="B170" s="309"/>
      <c r="C170" s="309"/>
      <c r="D170" s="309"/>
      <c r="E170" s="309"/>
      <c r="F170" s="309"/>
      <c r="G170" s="309"/>
      <c r="H170" s="309"/>
      <c r="I170" s="309"/>
      <c r="J170" s="309"/>
      <c r="K170" s="309"/>
      <c r="L170" s="309"/>
      <c r="M170" s="309"/>
      <c r="N170" s="309"/>
      <c r="O170" s="309"/>
      <c r="P170" s="309"/>
    </row>
    <row r="171" spans="1:16" ht="23.25" customHeight="1" thickBot="1" thickTop="1">
      <c r="A171" s="309"/>
      <c r="B171" s="1056" t="s">
        <v>645</v>
      </c>
      <c r="C171" s="1062"/>
      <c r="D171" s="1057"/>
      <c r="E171" s="309"/>
      <c r="F171" s="309"/>
      <c r="G171" s="309"/>
      <c r="H171" s="309"/>
      <c r="I171" s="309"/>
      <c r="J171" s="309"/>
      <c r="K171" s="309"/>
      <c r="L171" s="309"/>
      <c r="M171" s="309"/>
      <c r="N171" s="309"/>
      <c r="O171" s="309"/>
      <c r="P171" s="309"/>
    </row>
    <row r="172" spans="1:16" ht="14.25" customHeight="1" thickTop="1">
      <c r="A172" s="309"/>
      <c r="B172" s="309"/>
      <c r="C172" s="309"/>
      <c r="D172" s="309"/>
      <c r="E172" s="309"/>
      <c r="F172" s="309"/>
      <c r="G172" s="309"/>
      <c r="H172" s="309"/>
      <c r="I172" s="309"/>
      <c r="J172" s="309"/>
      <c r="K172" s="309"/>
      <c r="L172" s="309"/>
      <c r="M172" s="309"/>
      <c r="N172" s="309"/>
      <c r="O172" s="309"/>
      <c r="P172" s="309"/>
    </row>
    <row r="178" spans="2:9" ht="13.5" thickBot="1">
      <c r="B178" s="450"/>
      <c r="C178" s="450"/>
      <c r="D178" s="450"/>
      <c r="E178" s="450"/>
      <c r="F178" s="450"/>
      <c r="G178" s="450"/>
      <c r="H178" s="450"/>
      <c r="I178" s="22"/>
    </row>
    <row r="180" spans="2:3" ht="15.75">
      <c r="B180" s="161" t="s">
        <v>430</v>
      </c>
      <c r="C180" s="603">
        <v>0</v>
      </c>
    </row>
    <row r="182" ht="15.75">
      <c r="B182" s="28" t="s">
        <v>431</v>
      </c>
    </row>
    <row r="183" spans="6:7" ht="12.75">
      <c r="F183" s="1058" t="s">
        <v>432</v>
      </c>
      <c r="G183" s="1059"/>
    </row>
    <row r="184" spans="1:16" ht="22.5">
      <c r="A184" s="1002" t="s">
        <v>390</v>
      </c>
      <c r="B184" s="1003"/>
      <c r="C184" s="604" t="s">
        <v>391</v>
      </c>
      <c r="D184" s="604" t="s">
        <v>392</v>
      </c>
      <c r="E184" s="604" t="s">
        <v>468</v>
      </c>
      <c r="F184" s="604" t="s">
        <v>394</v>
      </c>
      <c r="G184" s="605" t="s">
        <v>395</v>
      </c>
      <c r="J184" s="1002" t="s">
        <v>390</v>
      </c>
      <c r="K184" s="1003"/>
      <c r="L184" s="604" t="s">
        <v>391</v>
      </c>
      <c r="M184" s="604" t="s">
        <v>392</v>
      </c>
      <c r="N184" s="604" t="s">
        <v>393</v>
      </c>
      <c r="O184" s="604" t="s">
        <v>394</v>
      </c>
      <c r="P184" s="605" t="s">
        <v>395</v>
      </c>
    </row>
    <row r="185" spans="1:16" ht="15.75">
      <c r="A185" s="543"/>
      <c r="B185" s="548" t="s">
        <v>433</v>
      </c>
      <c r="C185" s="17"/>
      <c r="D185" s="17"/>
      <c r="E185" s="673">
        <v>16</v>
      </c>
      <c r="F185" s="17"/>
      <c r="G185" s="5"/>
      <c r="J185" s="543"/>
      <c r="K185" s="22"/>
      <c r="L185" s="17"/>
      <c r="M185" s="606" t="s">
        <v>433</v>
      </c>
      <c r="N185" s="673">
        <f>E185</f>
        <v>16</v>
      </c>
      <c r="O185" s="17"/>
      <c r="P185" s="5"/>
    </row>
    <row r="186" spans="1:16" ht="12.75">
      <c r="A186" s="549" t="s">
        <v>397</v>
      </c>
      <c r="B186" s="17" t="s">
        <v>398</v>
      </c>
      <c r="C186" s="54"/>
      <c r="D186" s="54"/>
      <c r="E186" s="54"/>
      <c r="F186" s="54"/>
      <c r="G186" s="5"/>
      <c r="J186" s="549" t="s">
        <v>397</v>
      </c>
      <c r="K186" s="11" t="s">
        <v>398</v>
      </c>
      <c r="L186" s="54"/>
      <c r="M186" s="54"/>
      <c r="N186" s="54"/>
      <c r="O186" s="54"/>
      <c r="P186" s="5"/>
    </row>
    <row r="187" spans="1:16" ht="12.75">
      <c r="A187" s="549"/>
      <c r="B187" s="552" t="s">
        <v>399</v>
      </c>
      <c r="C187" s="54"/>
      <c r="D187" s="54"/>
      <c r="E187" s="54"/>
      <c r="F187" s="54"/>
      <c r="G187" s="5"/>
      <c r="J187" s="549"/>
      <c r="K187" s="11"/>
      <c r="L187" s="54"/>
      <c r="M187" s="54"/>
      <c r="N187" s="54"/>
      <c r="O187" s="54"/>
      <c r="P187" s="5"/>
    </row>
    <row r="188" spans="1:16" ht="12.75">
      <c r="A188" s="553">
        <v>1</v>
      </c>
      <c r="B188" s="54" t="s">
        <v>400</v>
      </c>
      <c r="C188" s="554">
        <v>60</v>
      </c>
      <c r="D188" s="554">
        <f>+C188</f>
        <v>60</v>
      </c>
      <c r="E188" s="554">
        <v>2</v>
      </c>
      <c r="F188" s="555">
        <f aca="true" t="shared" si="5" ref="F188:F193">+D188*E188</f>
        <v>120</v>
      </c>
      <c r="G188" s="5"/>
      <c r="J188" s="5"/>
      <c r="K188" s="5"/>
      <c r="L188" s="5"/>
      <c r="M188" s="5"/>
      <c r="N188" s="5"/>
      <c r="O188" s="5"/>
      <c r="P188" s="5"/>
    </row>
    <row r="189" spans="1:16" ht="12.75">
      <c r="A189" s="553">
        <f>+A188+1</f>
        <v>2</v>
      </c>
      <c r="B189" s="54" t="s">
        <v>401</v>
      </c>
      <c r="C189" s="554">
        <v>120</v>
      </c>
      <c r="D189" s="554">
        <f aca="true" t="shared" si="6" ref="D189:D198">+C189</f>
        <v>120</v>
      </c>
      <c r="E189" s="554">
        <v>2</v>
      </c>
      <c r="F189" s="555">
        <f t="shared" si="5"/>
        <v>240</v>
      </c>
      <c r="G189" s="5"/>
      <c r="J189" s="5"/>
      <c r="K189" s="5"/>
      <c r="L189" s="5"/>
      <c r="M189" s="5"/>
      <c r="N189" s="5"/>
      <c r="O189" s="5"/>
      <c r="P189" s="5"/>
    </row>
    <row r="190" spans="1:16" ht="12.75">
      <c r="A190" s="553">
        <f aca="true" t="shared" si="7" ref="A190:A216">+A189+1</f>
        <v>3</v>
      </c>
      <c r="B190" s="5" t="s">
        <v>402</v>
      </c>
      <c r="C190" s="554">
        <v>30</v>
      </c>
      <c r="D190" s="554">
        <f t="shared" si="6"/>
        <v>30</v>
      </c>
      <c r="E190" s="554">
        <v>1</v>
      </c>
      <c r="F190" s="555">
        <f t="shared" si="5"/>
        <v>30</v>
      </c>
      <c r="G190" s="5"/>
      <c r="J190" s="5"/>
      <c r="K190" s="5"/>
      <c r="L190" s="5"/>
      <c r="M190" s="5"/>
      <c r="N190" s="5"/>
      <c r="O190" s="5"/>
      <c r="P190" s="5"/>
    </row>
    <row r="191" spans="1:16" ht="12.75">
      <c r="A191" s="553">
        <f t="shared" si="7"/>
        <v>4</v>
      </c>
      <c r="B191" s="5" t="s">
        <v>434</v>
      </c>
      <c r="C191" s="554">
        <v>60</v>
      </c>
      <c r="D191" s="554">
        <f t="shared" si="6"/>
        <v>60</v>
      </c>
      <c r="E191" s="554">
        <v>2</v>
      </c>
      <c r="F191" s="555">
        <f t="shared" si="5"/>
        <v>120</v>
      </c>
      <c r="G191" s="5"/>
      <c r="J191" s="5"/>
      <c r="K191" s="5"/>
      <c r="L191" s="5"/>
      <c r="M191" s="5"/>
      <c r="N191" s="5"/>
      <c r="O191" s="5"/>
      <c r="P191" s="5"/>
    </row>
    <row r="192" spans="1:16" ht="12.75">
      <c r="A192" s="553">
        <f t="shared" si="7"/>
        <v>5</v>
      </c>
      <c r="B192" s="5" t="s">
        <v>435</v>
      </c>
      <c r="C192" s="8">
        <f>15*(1-C$10)</f>
        <v>15</v>
      </c>
      <c r="D192" s="8">
        <f t="shared" si="6"/>
        <v>15</v>
      </c>
      <c r="E192" s="554">
        <v>2</v>
      </c>
      <c r="F192" s="555">
        <f t="shared" si="5"/>
        <v>30</v>
      </c>
      <c r="G192" s="570"/>
      <c r="J192" s="5"/>
      <c r="K192" s="5"/>
      <c r="L192" s="5"/>
      <c r="M192" s="5"/>
      <c r="N192" s="5"/>
      <c r="O192" s="5"/>
      <c r="P192" s="5"/>
    </row>
    <row r="193" spans="1:16" ht="12.75">
      <c r="A193" s="553">
        <f t="shared" si="7"/>
        <v>6</v>
      </c>
      <c r="B193" s="5" t="s">
        <v>403</v>
      </c>
      <c r="C193" s="8">
        <v>30</v>
      </c>
      <c r="D193" s="8">
        <f t="shared" si="6"/>
        <v>30</v>
      </c>
      <c r="E193" s="554">
        <v>2</v>
      </c>
      <c r="F193" s="609">
        <f t="shared" si="5"/>
        <v>60</v>
      </c>
      <c r="G193" s="5"/>
      <c r="J193" s="5"/>
      <c r="K193" s="5"/>
      <c r="L193" s="5"/>
      <c r="M193" s="5"/>
      <c r="N193" s="5"/>
      <c r="O193" s="5"/>
      <c r="P193" s="8"/>
    </row>
    <row r="194" spans="1:16" ht="13.5" thickBot="1">
      <c r="A194" s="198"/>
      <c r="B194" s="587" t="s">
        <v>405</v>
      </c>
      <c r="C194" s="8"/>
      <c r="D194" s="8"/>
      <c r="E194" s="554"/>
      <c r="F194" s="609"/>
      <c r="G194" s="570"/>
      <c r="J194" s="5"/>
      <c r="K194" s="611" t="s">
        <v>406</v>
      </c>
      <c r="L194" s="570"/>
      <c r="M194" s="570"/>
      <c r="N194" s="5"/>
      <c r="O194" s="5"/>
      <c r="P194" s="8"/>
    </row>
    <row r="195" spans="1:16" ht="13.5" thickBot="1">
      <c r="A195" s="198">
        <f>+A193+1</f>
        <v>7</v>
      </c>
      <c r="B195" s="5" t="s">
        <v>436</v>
      </c>
      <c r="C195" s="8">
        <f>15*(1-C$10)</f>
        <v>15</v>
      </c>
      <c r="D195" s="554">
        <f t="shared" si="6"/>
        <v>15</v>
      </c>
      <c r="E195" s="554">
        <v>1</v>
      </c>
      <c r="F195" s="607"/>
      <c r="G195" s="562">
        <f>+E195*D195</f>
        <v>15</v>
      </c>
      <c r="H195" s="576"/>
      <c r="I195" s="22"/>
      <c r="J195" s="5">
        <v>1</v>
      </c>
      <c r="K195" s="608" t="s">
        <v>437</v>
      </c>
      <c r="L195" s="558">
        <v>15</v>
      </c>
      <c r="M195" s="558">
        <f>+L195</f>
        <v>15</v>
      </c>
      <c r="N195" s="8">
        <v>1</v>
      </c>
      <c r="O195" s="609"/>
      <c r="P195" s="8">
        <f>+N195*M195</f>
        <v>15</v>
      </c>
    </row>
    <row r="196" spans="1:16" ht="12.75">
      <c r="A196" s="5">
        <f>+A195+1</f>
        <v>8</v>
      </c>
      <c r="B196" s="616" t="s">
        <v>469</v>
      </c>
      <c r="C196" s="8">
        <v>20</v>
      </c>
      <c r="D196" s="554">
        <f t="shared" si="6"/>
        <v>20</v>
      </c>
      <c r="E196" s="8">
        <v>1</v>
      </c>
      <c r="F196" s="607"/>
      <c r="G196" s="568">
        <f>+E196*D196</f>
        <v>20</v>
      </c>
      <c r="H196" s="166"/>
      <c r="I196" s="22"/>
      <c r="J196" s="23">
        <f>+J195+1</f>
        <v>2</v>
      </c>
      <c r="K196" s="559" t="s">
        <v>470</v>
      </c>
      <c r="L196" s="563">
        <v>5</v>
      </c>
      <c r="M196" s="564"/>
      <c r="N196" s="565"/>
      <c r="O196" s="609"/>
      <c r="P196" s="8"/>
    </row>
    <row r="197" spans="1:16" ht="12.75">
      <c r="A197" s="5">
        <f>+A196+1</f>
        <v>9</v>
      </c>
      <c r="B197" s="570" t="s">
        <v>471</v>
      </c>
      <c r="C197" s="558">
        <f>15*(1-C$10)</f>
        <v>15</v>
      </c>
      <c r="D197" s="557">
        <f t="shared" si="6"/>
        <v>15</v>
      </c>
      <c r="E197" s="8">
        <v>1</v>
      </c>
      <c r="F197" s="610"/>
      <c r="G197" s="568">
        <f>+E197*D197</f>
        <v>15</v>
      </c>
      <c r="H197" s="166"/>
      <c r="I197" s="22"/>
      <c r="J197" s="23">
        <f>+J196+1</f>
        <v>3</v>
      </c>
      <c r="K197" s="566" t="s">
        <v>472</v>
      </c>
      <c r="L197" s="8">
        <v>30</v>
      </c>
      <c r="M197" s="569"/>
      <c r="N197" s="565"/>
      <c r="O197" s="609"/>
      <c r="P197" s="8"/>
    </row>
    <row r="198" spans="1:16" ht="13.5" thickBot="1">
      <c r="A198" s="23">
        <f t="shared" si="7"/>
        <v>10</v>
      </c>
      <c r="B198" s="570" t="s">
        <v>442</v>
      </c>
      <c r="C198" s="558">
        <v>15</v>
      </c>
      <c r="D198" s="557">
        <f t="shared" si="6"/>
        <v>15</v>
      </c>
      <c r="E198" s="8">
        <v>1</v>
      </c>
      <c r="F198" s="610"/>
      <c r="G198" s="568">
        <f>+E198*D198</f>
        <v>15</v>
      </c>
      <c r="H198" s="166"/>
      <c r="I198" s="22"/>
      <c r="J198" s="23">
        <f>+J197+1</f>
        <v>4</v>
      </c>
      <c r="K198" s="566" t="s">
        <v>473</v>
      </c>
      <c r="L198" s="8">
        <v>5</v>
      </c>
      <c r="M198" s="569"/>
      <c r="N198" s="565"/>
      <c r="O198" s="609"/>
      <c r="P198" s="8"/>
    </row>
    <row r="199" spans="1:16" ht="13.5" thickBot="1">
      <c r="A199" s="23">
        <f t="shared" si="7"/>
        <v>11</v>
      </c>
      <c r="B199" s="622" t="s">
        <v>474</v>
      </c>
      <c r="C199" s="563">
        <v>40</v>
      </c>
      <c r="D199" s="564"/>
      <c r="E199" s="565"/>
      <c r="F199" s="588"/>
      <c r="G199" s="568"/>
      <c r="H199" s="166"/>
      <c r="I199" s="22"/>
      <c r="J199" s="23">
        <f>+J198+1</f>
        <v>5</v>
      </c>
      <c r="K199" s="592" t="s">
        <v>475</v>
      </c>
      <c r="L199" s="578">
        <v>20</v>
      </c>
      <c r="M199" s="579">
        <f>SUM(L196:L199)</f>
        <v>60</v>
      </c>
      <c r="N199" s="565">
        <f>+E$185</f>
        <v>16</v>
      </c>
      <c r="O199" s="8"/>
      <c r="P199" s="8">
        <f>+N199*M199</f>
        <v>960</v>
      </c>
    </row>
    <row r="200" spans="1:16" ht="12.75">
      <c r="A200" s="23">
        <f t="shared" si="7"/>
        <v>12</v>
      </c>
      <c r="B200" s="568" t="s">
        <v>476</v>
      </c>
      <c r="C200" s="8">
        <f>15*(1-C$10)</f>
        <v>15</v>
      </c>
      <c r="D200" s="569"/>
      <c r="E200" s="565"/>
      <c r="F200" s="588"/>
      <c r="G200" s="568"/>
      <c r="H200" s="166"/>
      <c r="I200" s="22"/>
      <c r="J200" s="5">
        <f>+J199+1</f>
        <v>6</v>
      </c>
      <c r="K200" s="580" t="s">
        <v>447</v>
      </c>
      <c r="L200" s="581">
        <v>15</v>
      </c>
      <c r="M200" s="581">
        <f>+L200</f>
        <v>15</v>
      </c>
      <c r="N200" s="8">
        <v>1</v>
      </c>
      <c r="O200" s="609"/>
      <c r="P200" s="8">
        <f>+N200*M200</f>
        <v>15</v>
      </c>
    </row>
    <row r="201" spans="1:16" ht="12.75">
      <c r="A201" s="23">
        <f t="shared" si="7"/>
        <v>13</v>
      </c>
      <c r="B201" s="568" t="s">
        <v>477</v>
      </c>
      <c r="C201" s="8">
        <v>40</v>
      </c>
      <c r="D201" s="569"/>
      <c r="E201" s="565"/>
      <c r="F201" s="588"/>
      <c r="G201" s="568"/>
      <c r="H201" s="166"/>
      <c r="I201" s="22"/>
      <c r="J201" s="5"/>
      <c r="K201" s="583"/>
      <c r="L201" s="8"/>
      <c r="M201" s="8"/>
      <c r="N201" s="565"/>
      <c r="O201" s="8"/>
      <c r="P201" s="8"/>
    </row>
    <row r="202" spans="1:16" ht="12.75">
      <c r="A202" s="23">
        <f t="shared" si="7"/>
        <v>14</v>
      </c>
      <c r="B202" s="618" t="s">
        <v>478</v>
      </c>
      <c r="C202" s="8">
        <v>30</v>
      </c>
      <c r="D202" s="569"/>
      <c r="E202" s="565"/>
      <c r="F202" s="588"/>
      <c r="G202" s="568"/>
      <c r="H202" s="166"/>
      <c r="I202" s="22"/>
      <c r="J202" s="5"/>
      <c r="K202" s="583"/>
      <c r="L202" s="8"/>
      <c r="M202" s="8"/>
      <c r="N202" s="565"/>
      <c r="O202" s="609"/>
      <c r="P202" s="8"/>
    </row>
    <row r="203" spans="1:16" ht="12.75">
      <c r="A203" s="23">
        <f t="shared" si="7"/>
        <v>15</v>
      </c>
      <c r="B203" s="568" t="s">
        <v>471</v>
      </c>
      <c r="C203" s="8">
        <f>15*(1-C$10)</f>
        <v>15</v>
      </c>
      <c r="D203" s="569"/>
      <c r="E203" s="565"/>
      <c r="F203" s="588"/>
      <c r="G203" s="582"/>
      <c r="H203" s="166"/>
      <c r="I203" s="22"/>
      <c r="J203" s="5"/>
      <c r="K203" s="5"/>
      <c r="L203" s="5"/>
      <c r="M203" s="5"/>
      <c r="N203" s="5"/>
      <c r="O203" s="5"/>
      <c r="P203" s="8"/>
    </row>
    <row r="204" spans="1:16" ht="13.5" thickBot="1">
      <c r="A204" s="23">
        <f t="shared" si="7"/>
        <v>16</v>
      </c>
      <c r="B204" s="577" t="s">
        <v>479</v>
      </c>
      <c r="C204" s="578">
        <v>15</v>
      </c>
      <c r="D204" s="579">
        <f>SUM(C199:C204)</f>
        <v>155</v>
      </c>
      <c r="E204" s="565">
        <v>6</v>
      </c>
      <c r="F204" s="588"/>
      <c r="G204" s="582">
        <f>+E204*D204</f>
        <v>930</v>
      </c>
      <c r="H204" s="166"/>
      <c r="I204" s="22"/>
      <c r="J204" s="5"/>
      <c r="K204" s="5"/>
      <c r="L204" s="5"/>
      <c r="M204" s="5"/>
      <c r="N204" s="5"/>
      <c r="O204" s="5"/>
      <c r="P204" s="8"/>
    </row>
    <row r="205" spans="1:16" ht="13.5" thickBot="1">
      <c r="A205" s="23">
        <f t="shared" si="7"/>
        <v>17</v>
      </c>
      <c r="B205" s="556" t="s">
        <v>454</v>
      </c>
      <c r="C205" s="629"/>
      <c r="D205" s="634"/>
      <c r="E205" s="554"/>
      <c r="F205" s="574"/>
      <c r="G205" s="582"/>
      <c r="H205" s="166"/>
      <c r="I205" s="22"/>
      <c r="J205" s="5"/>
      <c r="K205" s="5"/>
      <c r="L205" s="5"/>
      <c r="M205" s="5"/>
      <c r="N205" s="5"/>
      <c r="O205" s="5"/>
      <c r="P205" s="8"/>
    </row>
    <row r="206" spans="1:16" ht="12.75">
      <c r="A206" s="23">
        <f t="shared" si="7"/>
        <v>18</v>
      </c>
      <c r="B206" s="622" t="s">
        <v>474</v>
      </c>
      <c r="C206" s="563">
        <v>20</v>
      </c>
      <c r="D206" s="564"/>
      <c r="E206" s="565"/>
      <c r="F206" s="574"/>
      <c r="G206" s="582"/>
      <c r="H206" s="166"/>
      <c r="I206" s="22"/>
      <c r="J206" s="5"/>
      <c r="K206" s="5"/>
      <c r="L206" s="5"/>
      <c r="M206" s="5"/>
      <c r="N206" s="5"/>
      <c r="O206" s="5"/>
      <c r="P206" s="8"/>
    </row>
    <row r="207" spans="1:16" ht="12.75">
      <c r="A207" s="23">
        <f t="shared" si="7"/>
        <v>19</v>
      </c>
      <c r="B207" s="568" t="s">
        <v>476</v>
      </c>
      <c r="C207" s="8">
        <f>15*(1-C$10)</f>
        <v>15</v>
      </c>
      <c r="D207" s="569"/>
      <c r="E207" s="565"/>
      <c r="F207" s="574"/>
      <c r="G207" s="582"/>
      <c r="H207" s="166"/>
      <c r="I207" s="22"/>
      <c r="J207" s="5"/>
      <c r="K207" s="5"/>
      <c r="L207" s="5"/>
      <c r="M207" s="5"/>
      <c r="N207" s="5"/>
      <c r="O207" s="5"/>
      <c r="P207" s="8"/>
    </row>
    <row r="208" spans="1:16" ht="12.75">
      <c r="A208" s="23">
        <f t="shared" si="7"/>
        <v>20</v>
      </c>
      <c r="B208" s="568" t="s">
        <v>480</v>
      </c>
      <c r="C208" s="8">
        <v>20</v>
      </c>
      <c r="D208" s="569"/>
      <c r="E208" s="565"/>
      <c r="F208" s="574"/>
      <c r="G208" s="582"/>
      <c r="H208" s="166"/>
      <c r="I208" s="22"/>
      <c r="J208" s="5"/>
      <c r="K208" s="5"/>
      <c r="L208" s="5"/>
      <c r="M208" s="5"/>
      <c r="N208" s="5"/>
      <c r="O208" s="5"/>
      <c r="P208" s="8"/>
    </row>
    <row r="209" spans="1:16" ht="12.75">
      <c r="A209" s="23">
        <f t="shared" si="7"/>
        <v>21</v>
      </c>
      <c r="B209" s="618" t="s">
        <v>481</v>
      </c>
      <c r="C209" s="8">
        <v>15</v>
      </c>
      <c r="D209" s="569"/>
      <c r="E209" s="565"/>
      <c r="F209" s="574"/>
      <c r="G209" s="582"/>
      <c r="H209" s="166"/>
      <c r="I209" s="22"/>
      <c r="J209" s="5"/>
      <c r="K209" s="5"/>
      <c r="L209" s="5"/>
      <c r="M209" s="5"/>
      <c r="N209" s="5"/>
      <c r="O209" s="5"/>
      <c r="P209" s="8"/>
    </row>
    <row r="210" spans="1:16" ht="12.75">
      <c r="A210" s="23">
        <f t="shared" si="7"/>
        <v>22</v>
      </c>
      <c r="B210" s="568" t="s">
        <v>471</v>
      </c>
      <c r="C210" s="8">
        <f>15*(1-C$10)</f>
        <v>15</v>
      </c>
      <c r="D210" s="569"/>
      <c r="E210" s="565"/>
      <c r="F210" s="574"/>
      <c r="G210" s="582"/>
      <c r="H210" s="166"/>
      <c r="I210" s="22"/>
      <c r="J210" s="5"/>
      <c r="K210" s="5"/>
      <c r="L210" s="5"/>
      <c r="M210" s="5"/>
      <c r="N210" s="5"/>
      <c r="O210" s="5"/>
      <c r="P210" s="8"/>
    </row>
    <row r="211" spans="1:16" ht="13.5" thickBot="1">
      <c r="A211" s="23">
        <f t="shared" si="7"/>
        <v>23</v>
      </c>
      <c r="B211" s="577" t="s">
        <v>442</v>
      </c>
      <c r="C211" s="578">
        <v>10</v>
      </c>
      <c r="D211" s="579">
        <f>SUM(C206:C211)</f>
        <v>95</v>
      </c>
      <c r="E211" s="565">
        <v>1</v>
      </c>
      <c r="F211" s="574"/>
      <c r="G211" s="582">
        <f>+E211*D211</f>
        <v>95</v>
      </c>
      <c r="H211" s="166"/>
      <c r="I211" s="22"/>
      <c r="J211" s="5"/>
      <c r="K211" s="5"/>
      <c r="L211" s="5"/>
      <c r="M211" s="5"/>
      <c r="N211" s="5"/>
      <c r="O211" s="5"/>
      <c r="P211" s="8">
        <f>+G211</f>
        <v>95</v>
      </c>
    </row>
    <row r="212" spans="1:16" ht="15.75">
      <c r="A212" s="23">
        <f t="shared" si="7"/>
        <v>24</v>
      </c>
      <c r="B212" s="622" t="s">
        <v>474</v>
      </c>
      <c r="C212" s="563">
        <v>20</v>
      </c>
      <c r="D212" s="564"/>
      <c r="E212" s="554"/>
      <c r="F212" s="607"/>
      <c r="G212" s="568"/>
      <c r="H212" s="166"/>
      <c r="I212" s="22"/>
      <c r="J212" s="5"/>
      <c r="K212" s="5"/>
      <c r="L212" s="5"/>
      <c r="M212" s="5"/>
      <c r="N212" s="5"/>
      <c r="O212" s="5"/>
      <c r="P212" s="585"/>
    </row>
    <row r="213" spans="1:16" ht="12.75">
      <c r="A213" s="23">
        <f t="shared" si="7"/>
        <v>25</v>
      </c>
      <c r="B213" s="568" t="s">
        <v>476</v>
      </c>
      <c r="C213" s="8">
        <f>15*(1-C$10)</f>
        <v>15</v>
      </c>
      <c r="D213" s="635"/>
      <c r="E213" s="554"/>
      <c r="F213" s="607"/>
      <c r="G213" s="568"/>
      <c r="H213" s="166"/>
      <c r="I213" s="22"/>
      <c r="J213" s="5"/>
      <c r="K213" s="5"/>
      <c r="L213" s="5"/>
      <c r="M213" s="5"/>
      <c r="N213" s="5"/>
      <c r="O213" s="5"/>
      <c r="P213" s="5"/>
    </row>
    <row r="214" spans="1:16" ht="12.75">
      <c r="A214" s="23">
        <f t="shared" si="7"/>
        <v>26</v>
      </c>
      <c r="B214" s="568" t="s">
        <v>482</v>
      </c>
      <c r="C214" s="8">
        <v>20</v>
      </c>
      <c r="D214" s="635"/>
      <c r="E214" s="574"/>
      <c r="F214" s="610"/>
      <c r="G214" s="568"/>
      <c r="H214" s="166"/>
      <c r="I214" s="22"/>
      <c r="J214" s="5"/>
      <c r="K214" s="5"/>
      <c r="L214" s="5"/>
      <c r="M214" s="5"/>
      <c r="N214" s="5"/>
      <c r="O214" s="5"/>
      <c r="P214" s="5"/>
    </row>
    <row r="215" spans="1:16" ht="12.75">
      <c r="A215" s="23">
        <f t="shared" si="7"/>
        <v>27</v>
      </c>
      <c r="B215" s="618" t="s">
        <v>450</v>
      </c>
      <c r="C215" s="554">
        <v>5</v>
      </c>
      <c r="D215" s="635"/>
      <c r="E215" s="574"/>
      <c r="F215" s="610"/>
      <c r="G215" s="568"/>
      <c r="H215" s="166"/>
      <c r="I215" s="22"/>
      <c r="J215" s="5"/>
      <c r="K215" s="5"/>
      <c r="L215" s="5"/>
      <c r="M215" s="5"/>
      <c r="N215" s="5"/>
      <c r="O215" s="5"/>
      <c r="P215" s="5"/>
    </row>
    <row r="216" spans="1:16" ht="16.5" thickBot="1">
      <c r="A216" s="23">
        <f t="shared" si="7"/>
        <v>28</v>
      </c>
      <c r="B216" s="577" t="s">
        <v>451</v>
      </c>
      <c r="C216" s="578">
        <f>15*(1-C$10)</f>
        <v>15</v>
      </c>
      <c r="D216" s="573">
        <f>SUM(C212:C216)</f>
        <v>75</v>
      </c>
      <c r="E216" s="574">
        <v>1</v>
      </c>
      <c r="F216" s="610"/>
      <c r="G216" s="568">
        <f>+E216*D216</f>
        <v>75</v>
      </c>
      <c r="H216" s="636"/>
      <c r="I216" s="615"/>
      <c r="J216" s="5"/>
      <c r="K216" s="5"/>
      <c r="L216" s="5"/>
      <c r="M216" s="5"/>
      <c r="N216" s="5"/>
      <c r="O216" s="5"/>
      <c r="P216" s="5">
        <f>+G216</f>
        <v>75</v>
      </c>
    </row>
    <row r="217" spans="1:16" ht="16.5" thickBot="1">
      <c r="A217" s="23"/>
      <c r="B217" s="553"/>
      <c r="C217" s="581"/>
      <c r="D217" s="554"/>
      <c r="E217" s="574"/>
      <c r="F217" s="610"/>
      <c r="G217" s="577"/>
      <c r="H217" s="614">
        <f>SUM(G195:G217)</f>
        <v>1165</v>
      </c>
      <c r="I217" s="615"/>
      <c r="J217" s="5"/>
      <c r="K217" s="5"/>
      <c r="L217" s="5"/>
      <c r="M217" s="5"/>
      <c r="N217" s="5"/>
      <c r="O217" s="5"/>
      <c r="P217" s="585">
        <f>SUM(P186:P216)</f>
        <v>1160</v>
      </c>
    </row>
    <row r="218" spans="4:7" ht="15.75">
      <c r="D218" s="28" t="s">
        <v>416</v>
      </c>
      <c r="E218" s="3" t="s">
        <v>417</v>
      </c>
      <c r="F218" s="585">
        <f>SUM(F188:F217)</f>
        <v>600</v>
      </c>
      <c r="G218" s="585">
        <f>SUM(G188:G217)</f>
        <v>1165</v>
      </c>
    </row>
    <row r="219" spans="5:7" ht="15.75">
      <c r="E219" s="3" t="s">
        <v>418</v>
      </c>
      <c r="F219" s="585">
        <f>+F218/60</f>
        <v>10</v>
      </c>
      <c r="G219" s="585">
        <f>+G218/60</f>
        <v>19.416666666666668</v>
      </c>
    </row>
    <row r="221" ht="15.75">
      <c r="B221" s="28" t="s">
        <v>452</v>
      </c>
    </row>
    <row r="222" spans="6:7" ht="12.75">
      <c r="F222" s="1058" t="s">
        <v>432</v>
      </c>
      <c r="G222" s="1059"/>
    </row>
    <row r="223" spans="1:16" ht="22.5">
      <c r="A223" s="1002" t="s">
        <v>390</v>
      </c>
      <c r="B223" s="1003"/>
      <c r="C223" s="604" t="s">
        <v>391</v>
      </c>
      <c r="D223" s="604" t="s">
        <v>392</v>
      </c>
      <c r="E223" s="604" t="s">
        <v>393</v>
      </c>
      <c r="F223" s="604" t="s">
        <v>394</v>
      </c>
      <c r="G223" s="605" t="s">
        <v>395</v>
      </c>
      <c r="J223" s="1002" t="s">
        <v>390</v>
      </c>
      <c r="K223" s="1003"/>
      <c r="L223" s="604" t="s">
        <v>391</v>
      </c>
      <c r="M223" s="604" t="s">
        <v>392</v>
      </c>
      <c r="N223" s="604" t="s">
        <v>393</v>
      </c>
      <c r="O223" s="604" t="s">
        <v>394</v>
      </c>
      <c r="P223" s="605" t="s">
        <v>395</v>
      </c>
    </row>
    <row r="224" spans="1:16" ht="15.75">
      <c r="A224" s="543"/>
      <c r="B224" s="606" t="s">
        <v>433</v>
      </c>
      <c r="C224" s="17"/>
      <c r="D224" s="17"/>
      <c r="E224" s="673">
        <f>E185</f>
        <v>16</v>
      </c>
      <c r="F224" s="17"/>
      <c r="G224" s="5"/>
      <c r="J224" s="29"/>
      <c r="L224" s="17"/>
      <c r="M224" s="606" t="s">
        <v>433</v>
      </c>
      <c r="N224" s="673">
        <f>E185</f>
        <v>16</v>
      </c>
      <c r="O224" s="17"/>
      <c r="P224" s="5"/>
    </row>
    <row r="225" spans="1:16" ht="12.75">
      <c r="A225" s="549" t="s">
        <v>397</v>
      </c>
      <c r="B225" s="17" t="s">
        <v>398</v>
      </c>
      <c r="C225" s="54"/>
      <c r="D225" s="54"/>
      <c r="E225" s="54"/>
      <c r="F225" s="54"/>
      <c r="G225" s="5"/>
      <c r="J225" s="549" t="s">
        <v>397</v>
      </c>
      <c r="K225" s="11" t="s">
        <v>398</v>
      </c>
      <c r="L225" s="54"/>
      <c r="M225" s="54"/>
      <c r="N225" s="54"/>
      <c r="O225" s="54"/>
      <c r="P225" s="5"/>
    </row>
    <row r="226" spans="1:16" ht="12.75">
      <c r="A226" s="549"/>
      <c r="B226" s="552" t="s">
        <v>399</v>
      </c>
      <c r="C226" s="54"/>
      <c r="D226" s="54"/>
      <c r="E226" s="54"/>
      <c r="F226" s="54"/>
      <c r="G226" s="5"/>
      <c r="J226" s="549"/>
      <c r="K226" s="11"/>
      <c r="L226" s="54"/>
      <c r="M226" s="54"/>
      <c r="N226" s="54"/>
      <c r="O226" s="54"/>
      <c r="P226" s="5"/>
    </row>
    <row r="227" spans="1:16" ht="12.75">
      <c r="A227" s="553">
        <v>1</v>
      </c>
      <c r="B227" s="54" t="s">
        <v>400</v>
      </c>
      <c r="C227" s="554">
        <v>60</v>
      </c>
      <c r="D227" s="554">
        <f aca="true" t="shared" si="8" ref="D227:D232">+C227</f>
        <v>60</v>
      </c>
      <c r="E227" s="554">
        <v>2</v>
      </c>
      <c r="F227" s="555">
        <f aca="true" t="shared" si="9" ref="F227:F232">+D227*E227</f>
        <v>120</v>
      </c>
      <c r="G227" s="5"/>
      <c r="J227" s="5"/>
      <c r="K227" s="5"/>
      <c r="L227" s="5"/>
      <c r="M227" s="5"/>
      <c r="N227" s="5"/>
      <c r="O227" s="5"/>
      <c r="P227" s="5"/>
    </row>
    <row r="228" spans="1:16" ht="12.75">
      <c r="A228" s="553">
        <f>+A227+1</f>
        <v>2</v>
      </c>
      <c r="B228" s="54" t="s">
        <v>401</v>
      </c>
      <c r="C228" s="554">
        <v>120</v>
      </c>
      <c r="D228" s="554">
        <f t="shared" si="8"/>
        <v>120</v>
      </c>
      <c r="E228" s="554">
        <v>2</v>
      </c>
      <c r="F228" s="555">
        <f t="shared" si="9"/>
        <v>240</v>
      </c>
      <c r="G228" s="5"/>
      <c r="J228" s="5"/>
      <c r="K228" s="5"/>
      <c r="L228" s="5"/>
      <c r="M228" s="5"/>
      <c r="N228" s="5"/>
      <c r="O228" s="5"/>
      <c r="P228" s="5"/>
    </row>
    <row r="229" spans="1:16" ht="12.75">
      <c r="A229" s="553">
        <f aca="true" t="shared" si="10" ref="A229:A250">+A228+1</f>
        <v>3</v>
      </c>
      <c r="B229" s="54" t="s">
        <v>402</v>
      </c>
      <c r="C229" s="554">
        <v>30</v>
      </c>
      <c r="D229" s="554">
        <f t="shared" si="8"/>
        <v>30</v>
      </c>
      <c r="E229" s="554">
        <v>1</v>
      </c>
      <c r="F229" s="555">
        <f t="shared" si="9"/>
        <v>30</v>
      </c>
      <c r="G229" s="5"/>
      <c r="J229" s="5"/>
      <c r="K229" s="5"/>
      <c r="L229" s="5"/>
      <c r="M229" s="5"/>
      <c r="N229" s="5"/>
      <c r="O229" s="5"/>
      <c r="P229" s="5"/>
    </row>
    <row r="230" spans="1:16" ht="12.75">
      <c r="A230" s="553">
        <f t="shared" si="10"/>
        <v>4</v>
      </c>
      <c r="B230" s="5" t="s">
        <v>453</v>
      </c>
      <c r="C230" s="8">
        <v>60</v>
      </c>
      <c r="D230" s="554">
        <f t="shared" si="8"/>
        <v>60</v>
      </c>
      <c r="E230" s="554">
        <v>2</v>
      </c>
      <c r="F230" s="555">
        <f t="shared" si="9"/>
        <v>120</v>
      </c>
      <c r="G230" s="5"/>
      <c r="J230" s="5"/>
      <c r="K230" s="5"/>
      <c r="L230" s="5"/>
      <c r="M230" s="5"/>
      <c r="N230" s="5"/>
      <c r="O230" s="5"/>
      <c r="P230" s="5"/>
    </row>
    <row r="231" spans="1:16" ht="12.75">
      <c r="A231" s="553">
        <f t="shared" si="10"/>
        <v>5</v>
      </c>
      <c r="B231" s="5" t="s">
        <v>435</v>
      </c>
      <c r="C231" s="8">
        <f>15*(1-C$10)</f>
        <v>15</v>
      </c>
      <c r="D231" s="554">
        <f t="shared" si="8"/>
        <v>15</v>
      </c>
      <c r="E231" s="554">
        <v>2</v>
      </c>
      <c r="F231" s="555">
        <f t="shared" si="9"/>
        <v>30</v>
      </c>
      <c r="G231" s="570"/>
      <c r="J231" s="5"/>
      <c r="K231" s="5"/>
      <c r="L231" s="5"/>
      <c r="M231" s="5"/>
      <c r="N231" s="5"/>
      <c r="O231" s="5"/>
      <c r="P231" s="5"/>
    </row>
    <row r="232" spans="1:16" ht="12.75">
      <c r="A232" s="553">
        <f t="shared" si="10"/>
        <v>6</v>
      </c>
      <c r="B232" s="5" t="s">
        <v>403</v>
      </c>
      <c r="C232" s="8">
        <v>30</v>
      </c>
      <c r="D232" s="554">
        <f t="shared" si="8"/>
        <v>30</v>
      </c>
      <c r="E232" s="8">
        <v>2</v>
      </c>
      <c r="F232" s="609">
        <f t="shared" si="9"/>
        <v>60</v>
      </c>
      <c r="G232" s="5"/>
      <c r="J232" s="5"/>
      <c r="K232" s="5"/>
      <c r="L232" s="5"/>
      <c r="M232" s="5"/>
      <c r="N232" s="5"/>
      <c r="O232" s="5"/>
      <c r="P232" s="8"/>
    </row>
    <row r="233" spans="1:16" ht="13.5" thickBot="1">
      <c r="A233" s="553"/>
      <c r="B233" s="587" t="s">
        <v>454</v>
      </c>
      <c r="C233" s="8"/>
      <c r="D233" s="554"/>
      <c r="E233" s="8"/>
      <c r="F233" s="610"/>
      <c r="G233" s="114"/>
      <c r="I233" s="22"/>
      <c r="J233" s="5"/>
      <c r="K233" s="5"/>
      <c r="L233" s="5"/>
      <c r="M233" s="5"/>
      <c r="N233" s="5"/>
      <c r="O233" s="5"/>
      <c r="P233" s="5"/>
    </row>
    <row r="234" spans="1:16" ht="12.75">
      <c r="A234" s="553">
        <f>+A232+1</f>
        <v>7</v>
      </c>
      <c r="B234" s="562" t="s">
        <v>455</v>
      </c>
      <c r="C234" s="563">
        <f>15*(1-C$10)</f>
        <v>15</v>
      </c>
      <c r="D234" s="564"/>
      <c r="E234" s="554"/>
      <c r="F234" s="607"/>
      <c r="G234" s="562"/>
      <c r="H234" s="627"/>
      <c r="I234" s="22"/>
      <c r="J234" s="5"/>
      <c r="K234" s="5"/>
      <c r="L234" s="5"/>
      <c r="M234" s="5"/>
      <c r="N234" s="5"/>
      <c r="O234" s="5"/>
      <c r="P234" s="5"/>
    </row>
    <row r="235" spans="1:16" ht="12.75">
      <c r="A235" s="553">
        <f t="shared" si="10"/>
        <v>8</v>
      </c>
      <c r="B235" s="618" t="s">
        <v>483</v>
      </c>
      <c r="C235" s="8">
        <v>20</v>
      </c>
      <c r="D235" s="569"/>
      <c r="E235" s="565"/>
      <c r="F235" s="607"/>
      <c r="G235" s="568"/>
      <c r="H235" s="620"/>
      <c r="I235" s="22"/>
      <c r="J235" s="5"/>
      <c r="K235" s="5"/>
      <c r="L235" s="5"/>
      <c r="M235" s="5"/>
      <c r="N235" s="5"/>
      <c r="O235" s="5"/>
      <c r="P235" s="5"/>
    </row>
    <row r="236" spans="1:16" ht="12.75">
      <c r="A236" s="553">
        <f t="shared" si="10"/>
        <v>9</v>
      </c>
      <c r="B236" s="568" t="s">
        <v>471</v>
      </c>
      <c r="C236" s="8">
        <f>15*(1-C$10)</f>
        <v>15</v>
      </c>
      <c r="D236" s="569"/>
      <c r="E236" s="565"/>
      <c r="F236" s="610"/>
      <c r="G236" s="568"/>
      <c r="H236" s="620"/>
      <c r="I236" s="22"/>
      <c r="J236" s="5"/>
      <c r="K236" s="5"/>
      <c r="L236" s="5"/>
      <c r="M236" s="5"/>
      <c r="N236" s="5"/>
      <c r="O236" s="5"/>
      <c r="P236" s="5"/>
    </row>
    <row r="237" spans="1:16" ht="13.5" thickBot="1">
      <c r="A237" s="5">
        <f t="shared" si="10"/>
        <v>10</v>
      </c>
      <c r="B237" s="577" t="s">
        <v>442</v>
      </c>
      <c r="C237" s="578">
        <v>10</v>
      </c>
      <c r="D237" s="579">
        <f>SUM(C234:C237)</f>
        <v>60</v>
      </c>
      <c r="E237" s="613">
        <v>8</v>
      </c>
      <c r="F237" s="610"/>
      <c r="G237" s="582">
        <f>+E237*D237</f>
        <v>480</v>
      </c>
      <c r="H237" s="620"/>
      <c r="I237" s="22"/>
      <c r="J237" s="5"/>
      <c r="K237" s="5"/>
      <c r="L237" s="5"/>
      <c r="M237" s="5"/>
      <c r="N237" s="5"/>
      <c r="O237" s="5"/>
      <c r="P237" s="5"/>
    </row>
    <row r="238" spans="1:16" ht="12.75">
      <c r="A238" s="5">
        <f t="shared" si="10"/>
        <v>11</v>
      </c>
      <c r="B238" s="622" t="s">
        <v>470</v>
      </c>
      <c r="C238" s="563">
        <v>5</v>
      </c>
      <c r="D238" s="564"/>
      <c r="E238" s="565"/>
      <c r="F238" s="637"/>
      <c r="G238" s="582"/>
      <c r="H238" s="620"/>
      <c r="I238" s="22"/>
      <c r="J238" s="5"/>
      <c r="K238" s="5"/>
      <c r="L238" s="5"/>
      <c r="M238" s="5"/>
      <c r="N238" s="5"/>
      <c r="O238" s="5"/>
      <c r="P238" s="5"/>
    </row>
    <row r="239" spans="1:16" ht="12.75">
      <c r="A239" s="5">
        <f t="shared" si="10"/>
        <v>12</v>
      </c>
      <c r="B239" s="618" t="s">
        <v>484</v>
      </c>
      <c r="C239" s="8">
        <v>20</v>
      </c>
      <c r="D239" s="569"/>
      <c r="E239" s="565"/>
      <c r="F239" s="638"/>
      <c r="G239" s="582"/>
      <c r="H239" s="620"/>
      <c r="I239" s="22"/>
      <c r="J239" s="5"/>
      <c r="K239" s="616"/>
      <c r="L239" s="8"/>
      <c r="M239" s="8"/>
      <c r="N239" s="8"/>
      <c r="O239" s="609"/>
      <c r="P239" s="5"/>
    </row>
    <row r="240" spans="1:16" ht="13.5" thickBot="1">
      <c r="A240" s="5">
        <f t="shared" si="10"/>
        <v>13</v>
      </c>
      <c r="B240" s="618" t="s">
        <v>485</v>
      </c>
      <c r="C240" s="8">
        <v>3</v>
      </c>
      <c r="D240" s="569"/>
      <c r="E240" s="565"/>
      <c r="F240" s="588"/>
      <c r="G240" s="639"/>
      <c r="H240" s="623"/>
      <c r="I240" s="22"/>
      <c r="J240" s="5"/>
      <c r="K240" s="5" t="s">
        <v>459</v>
      </c>
      <c r="L240" s="8">
        <v>600</v>
      </c>
      <c r="M240" s="8">
        <f>+L240</f>
        <v>600</v>
      </c>
      <c r="N240" s="8">
        <v>1</v>
      </c>
      <c r="O240" s="610">
        <f>+M240*N240</f>
        <v>600</v>
      </c>
      <c r="P240" s="5"/>
    </row>
    <row r="241" spans="1:16" ht="13.5" thickBot="1">
      <c r="A241" s="5">
        <f t="shared" si="10"/>
        <v>14</v>
      </c>
      <c r="B241" s="625" t="s">
        <v>460</v>
      </c>
      <c r="C241" s="626">
        <v>10</v>
      </c>
      <c r="D241" s="579">
        <f>SUM(C238:C241)</f>
        <v>38</v>
      </c>
      <c r="E241" s="24">
        <v>8</v>
      </c>
      <c r="F241" s="23"/>
      <c r="G241" s="575">
        <f>+E241*D241</f>
        <v>304</v>
      </c>
      <c r="H241" s="627"/>
      <c r="I241" s="22"/>
      <c r="J241" s="5"/>
      <c r="K241" s="611"/>
      <c r="L241" s="629"/>
      <c r="M241" s="5"/>
      <c r="N241" s="613"/>
      <c r="O241" s="640"/>
      <c r="P241" s="570"/>
    </row>
    <row r="242" spans="1:16" ht="12.75">
      <c r="A242" s="5">
        <f t="shared" si="10"/>
        <v>15</v>
      </c>
      <c r="B242" s="622" t="s">
        <v>461</v>
      </c>
      <c r="C242" s="563">
        <v>10</v>
      </c>
      <c r="D242" s="564"/>
      <c r="E242" s="565"/>
      <c r="F242" s="610"/>
      <c r="G242" s="582"/>
      <c r="H242" s="620"/>
      <c r="I242" s="22"/>
      <c r="J242" s="5"/>
      <c r="K242" s="611"/>
      <c r="L242" s="5"/>
      <c r="M242" s="5"/>
      <c r="N242" s="5"/>
      <c r="O242" s="5"/>
      <c r="P242" s="8"/>
    </row>
    <row r="243" spans="1:16" ht="12.75">
      <c r="A243" s="5">
        <f t="shared" si="10"/>
        <v>16</v>
      </c>
      <c r="B243" s="618" t="s">
        <v>473</v>
      </c>
      <c r="C243" s="8">
        <v>5</v>
      </c>
      <c r="D243" s="569"/>
      <c r="E243" s="565"/>
      <c r="F243" s="610"/>
      <c r="G243" s="582"/>
      <c r="H243" s="620"/>
      <c r="I243" s="22"/>
      <c r="J243" s="5"/>
      <c r="K243" s="5"/>
      <c r="L243" s="5"/>
      <c r="M243" s="5"/>
      <c r="N243" s="5"/>
      <c r="O243" s="5"/>
      <c r="P243" s="5"/>
    </row>
    <row r="244" spans="1:16" ht="13.5" thickBot="1">
      <c r="A244" s="5">
        <f t="shared" si="10"/>
        <v>17</v>
      </c>
      <c r="B244" s="625" t="s">
        <v>486</v>
      </c>
      <c r="C244" s="578">
        <v>15</v>
      </c>
      <c r="D244" s="579">
        <f>SUM(C242:C244)</f>
        <v>30</v>
      </c>
      <c r="E244" s="565">
        <v>8</v>
      </c>
      <c r="F244" s="610"/>
      <c r="G244" s="577">
        <f>+E244*D244</f>
        <v>240</v>
      </c>
      <c r="H244" s="579">
        <f>SUM(G241:G244)</f>
        <v>544</v>
      </c>
      <c r="I244" s="183"/>
      <c r="J244" s="5"/>
      <c r="K244" s="5"/>
      <c r="L244" s="5"/>
      <c r="M244" s="5"/>
      <c r="N244" s="5"/>
      <c r="O244" s="5"/>
      <c r="P244" s="5"/>
    </row>
    <row r="245" spans="1:16" ht="13.5" thickBot="1">
      <c r="A245" s="5"/>
      <c r="B245" s="628" t="s">
        <v>463</v>
      </c>
      <c r="C245" s="629"/>
      <c r="D245" s="629"/>
      <c r="E245" s="8"/>
      <c r="F245" s="607">
        <f>IF(H244&lt;O240,O240-H244,0)</f>
        <v>56</v>
      </c>
      <c r="G245" s="630"/>
      <c r="H245" s="635"/>
      <c r="I245" s="183"/>
      <c r="J245" s="5"/>
      <c r="K245" s="5"/>
      <c r="L245" s="5"/>
      <c r="M245" s="5"/>
      <c r="N245" s="5"/>
      <c r="O245" s="5"/>
      <c r="P245" s="5"/>
    </row>
    <row r="246" spans="1:16" ht="12.75">
      <c r="A246" s="5">
        <f>+A244+1</f>
        <v>18</v>
      </c>
      <c r="B246" s="559" t="s">
        <v>487</v>
      </c>
      <c r="C246" s="563">
        <v>10</v>
      </c>
      <c r="D246" s="564"/>
      <c r="E246" s="565"/>
      <c r="F246" s="574"/>
      <c r="G246" s="582"/>
      <c r="H246" s="620"/>
      <c r="I246" s="22"/>
      <c r="J246" s="5"/>
      <c r="K246" s="5"/>
      <c r="L246" s="5"/>
      <c r="M246" s="5"/>
      <c r="N246" s="5"/>
      <c r="O246" s="5"/>
      <c r="P246" s="5"/>
    </row>
    <row r="247" spans="1:16" ht="12.75">
      <c r="A247" s="5">
        <f t="shared" si="10"/>
        <v>19</v>
      </c>
      <c r="B247" s="566" t="s">
        <v>476</v>
      </c>
      <c r="C247" s="8">
        <f>15*(1-C$10)</f>
        <v>15</v>
      </c>
      <c r="D247" s="569"/>
      <c r="E247" s="565"/>
      <c r="F247" s="574"/>
      <c r="G247" s="582"/>
      <c r="H247" s="620"/>
      <c r="I247" s="22"/>
      <c r="J247" s="5"/>
      <c r="K247" s="616"/>
      <c r="L247" s="8"/>
      <c r="M247" s="8"/>
      <c r="N247" s="8"/>
      <c r="O247" s="609"/>
      <c r="P247" s="8"/>
    </row>
    <row r="248" spans="1:16" ht="12.75">
      <c r="A248" s="5">
        <f t="shared" si="10"/>
        <v>20</v>
      </c>
      <c r="B248" s="566" t="s">
        <v>488</v>
      </c>
      <c r="C248" s="8">
        <v>20</v>
      </c>
      <c r="D248" s="569"/>
      <c r="E248" s="565"/>
      <c r="F248" s="574"/>
      <c r="G248" s="582"/>
      <c r="H248" s="620"/>
      <c r="I248" s="114"/>
      <c r="J248" s="24"/>
      <c r="K248" s="641"/>
      <c r="L248" s="558"/>
      <c r="M248" s="558"/>
      <c r="N248" s="8"/>
      <c r="O248" s="617"/>
      <c r="P248" s="8"/>
    </row>
    <row r="249" spans="1:16" ht="12.75">
      <c r="A249" s="5">
        <f t="shared" si="10"/>
        <v>21</v>
      </c>
      <c r="B249" s="566" t="s">
        <v>450</v>
      </c>
      <c r="C249" s="8">
        <v>5</v>
      </c>
      <c r="D249" s="569"/>
      <c r="E249" s="565"/>
      <c r="F249" s="574"/>
      <c r="G249" s="582"/>
      <c r="H249" s="620"/>
      <c r="I249" s="114"/>
      <c r="J249" s="24"/>
      <c r="K249" s="641"/>
      <c r="L249" s="558"/>
      <c r="M249" s="558"/>
      <c r="N249" s="8"/>
      <c r="O249" s="617"/>
      <c r="P249" s="8"/>
    </row>
    <row r="250" spans="1:16" ht="13.5" thickBot="1">
      <c r="A250" s="5">
        <f t="shared" si="10"/>
        <v>22</v>
      </c>
      <c r="B250" s="592" t="s">
        <v>451</v>
      </c>
      <c r="C250" s="578">
        <f>15*(1-C$10)</f>
        <v>15</v>
      </c>
      <c r="D250" s="579">
        <f>SUM(C246:C250)</f>
        <v>65</v>
      </c>
      <c r="E250" s="565">
        <v>8</v>
      </c>
      <c r="F250" s="574"/>
      <c r="G250" s="582">
        <f>+E250*D250</f>
        <v>520</v>
      </c>
      <c r="H250" s="620"/>
      <c r="I250" s="114"/>
      <c r="J250" s="24"/>
      <c r="K250" s="616"/>
      <c r="L250" s="8"/>
      <c r="M250" s="8"/>
      <c r="N250" s="8"/>
      <c r="O250" s="617"/>
      <c r="P250" s="8"/>
    </row>
    <row r="251" spans="1:16" ht="12.75">
      <c r="A251" s="5"/>
      <c r="B251" s="553"/>
      <c r="C251" s="581"/>
      <c r="D251" s="581"/>
      <c r="E251" s="554"/>
      <c r="F251" s="610"/>
      <c r="G251" s="568"/>
      <c r="H251" s="620"/>
      <c r="I251" s="114"/>
      <c r="J251" s="24"/>
      <c r="K251" s="5"/>
      <c r="L251" s="5"/>
      <c r="M251" s="5"/>
      <c r="N251" s="5"/>
      <c r="O251" s="24"/>
      <c r="P251" s="8"/>
    </row>
    <row r="252" spans="1:16" ht="16.5" thickBot="1">
      <c r="A252" s="553"/>
      <c r="B252" s="5"/>
      <c r="C252" s="8"/>
      <c r="D252" s="581"/>
      <c r="E252" s="574"/>
      <c r="F252" s="610"/>
      <c r="G252" s="577"/>
      <c r="H252" s="579">
        <f>SUM(G234:G252)</f>
        <v>1544</v>
      </c>
      <c r="I252" s="557"/>
      <c r="J252" s="24"/>
      <c r="K252" s="5"/>
      <c r="L252" s="5"/>
      <c r="M252" s="5"/>
      <c r="N252" s="5"/>
      <c r="O252" s="24"/>
      <c r="P252" s="585"/>
    </row>
    <row r="253" spans="4:7" ht="15.75">
      <c r="D253" s="468" t="s">
        <v>416</v>
      </c>
      <c r="E253" s="3" t="s">
        <v>417</v>
      </c>
      <c r="F253" s="585">
        <f>SUM(F227:F252)</f>
        <v>656</v>
      </c>
      <c r="G253" s="586">
        <f>SUM(G227:G252)</f>
        <v>1544</v>
      </c>
    </row>
    <row r="254" spans="4:7" ht="15.75">
      <c r="D254" s="235"/>
      <c r="E254" s="3" t="s">
        <v>418</v>
      </c>
      <c r="F254" s="585">
        <f>+F253/60</f>
        <v>10.933333333333334</v>
      </c>
      <c r="G254" s="585">
        <f>+G253/60</f>
        <v>25.733333333333334</v>
      </c>
    </row>
    <row r="255" ht="12.75">
      <c r="D255" s="235"/>
    </row>
    <row r="256" spans="4:8" ht="15.75">
      <c r="D256" s="596" t="s">
        <v>424</v>
      </c>
      <c r="E256" s="3" t="s">
        <v>417</v>
      </c>
      <c r="F256" s="597">
        <f>+F253+F218</f>
        <v>1256</v>
      </c>
      <c r="H256" s="672" t="s">
        <v>490</v>
      </c>
    </row>
    <row r="257" spans="4:11" ht="18">
      <c r="D257" s="468"/>
      <c r="E257" s="3" t="s">
        <v>418</v>
      </c>
      <c r="F257" s="643">
        <f>+F256/60</f>
        <v>20.933333333333334</v>
      </c>
      <c r="H257" s="599" t="s">
        <v>425</v>
      </c>
      <c r="I257" s="633"/>
      <c r="J257" s="600">
        <f>ROUNDUP(F257*1.25,0)</f>
        <v>27</v>
      </c>
      <c r="K257" s="603" t="s">
        <v>418</v>
      </c>
    </row>
    <row r="258" spans="4:10" ht="18">
      <c r="D258" s="468"/>
      <c r="H258" s="157"/>
      <c r="I258" s="157"/>
      <c r="J258" s="601"/>
    </row>
    <row r="259" spans="4:10" ht="18">
      <c r="D259" s="468" t="s">
        <v>426</v>
      </c>
      <c r="F259" s="3" t="s">
        <v>417</v>
      </c>
      <c r="G259" s="585">
        <f>+G253+G218</f>
        <v>2709</v>
      </c>
      <c r="H259" s="157"/>
      <c r="I259" s="157"/>
      <c r="J259" s="601"/>
    </row>
    <row r="260" spans="4:10" ht="18">
      <c r="D260" s="235"/>
      <c r="F260" s="3" t="s">
        <v>418</v>
      </c>
      <c r="G260" s="585">
        <f>+G259/60</f>
        <v>45.15</v>
      </c>
      <c r="H260" s="157"/>
      <c r="I260" s="157"/>
      <c r="J260" s="601"/>
    </row>
    <row r="261" spans="4:10" ht="18">
      <c r="D261" s="235"/>
      <c r="H261" s="157"/>
      <c r="I261" s="157"/>
      <c r="J261" s="601"/>
    </row>
    <row r="262" spans="4:10" ht="18">
      <c r="D262" s="596" t="s">
        <v>467</v>
      </c>
      <c r="F262" s="3" t="s">
        <v>417</v>
      </c>
      <c r="G262" s="597">
        <f>+G259/E$185</f>
        <v>169.3125</v>
      </c>
      <c r="H262" s="157"/>
      <c r="I262" s="157"/>
      <c r="J262" s="601"/>
    </row>
    <row r="263" spans="6:11" ht="18">
      <c r="F263" s="3" t="s">
        <v>418</v>
      </c>
      <c r="G263" s="602">
        <f>+G262/60</f>
        <v>2.821875</v>
      </c>
      <c r="H263" s="599" t="s">
        <v>425</v>
      </c>
      <c r="I263" s="633"/>
      <c r="J263" s="600">
        <f>ROUNDUP(+G263*1.25,1)</f>
        <v>3.6</v>
      </c>
      <c r="K263" s="603" t="s">
        <v>418</v>
      </c>
    </row>
    <row r="265" spans="1:16" ht="13.5" thickBot="1">
      <c r="A265" s="309"/>
      <c r="B265" s="309"/>
      <c r="C265" s="309"/>
      <c r="D265" s="309"/>
      <c r="E265" s="309"/>
      <c r="F265" s="309"/>
      <c r="G265" s="309"/>
      <c r="H265" s="309"/>
      <c r="I265" s="309"/>
      <c r="J265" s="309"/>
      <c r="K265" s="309"/>
      <c r="L265" s="309"/>
      <c r="M265" s="309"/>
      <c r="N265" s="309"/>
      <c r="O265" s="309"/>
      <c r="P265" s="309"/>
    </row>
    <row r="266" spans="1:16" ht="24.75" thickBot="1" thickTop="1">
      <c r="A266" s="309"/>
      <c r="B266" s="1056" t="s">
        <v>613</v>
      </c>
      <c r="C266" s="1062"/>
      <c r="D266" s="1062"/>
      <c r="E266" s="1057"/>
      <c r="F266" s="309"/>
      <c r="G266" s="309"/>
      <c r="H266" s="309"/>
      <c r="I266" s="309"/>
      <c r="J266" s="309"/>
      <c r="K266" s="309"/>
      <c r="L266" s="309"/>
      <c r="M266" s="309"/>
      <c r="N266" s="309"/>
      <c r="O266" s="309"/>
      <c r="P266" s="309"/>
    </row>
    <row r="267" spans="1:16" ht="13.5" thickTop="1">
      <c r="A267" s="309"/>
      <c r="B267" s="309"/>
      <c r="C267" s="309"/>
      <c r="D267" s="309"/>
      <c r="E267" s="309"/>
      <c r="F267" s="309"/>
      <c r="G267" s="309"/>
      <c r="H267" s="309"/>
      <c r="I267" s="309"/>
      <c r="J267" s="309"/>
      <c r="K267" s="309"/>
      <c r="L267" s="309"/>
      <c r="M267" s="309"/>
      <c r="N267" s="309"/>
      <c r="O267" s="309"/>
      <c r="P267" s="309"/>
    </row>
    <row r="273" spans="2:9" ht="13.5" thickBot="1">
      <c r="B273" s="450"/>
      <c r="C273" s="450"/>
      <c r="D273" s="450"/>
      <c r="E273" s="450"/>
      <c r="F273" s="450"/>
      <c r="G273" s="450"/>
      <c r="H273" s="450"/>
      <c r="I273" s="22"/>
    </row>
    <row r="275" spans="2:3" ht="15.75">
      <c r="B275" s="161" t="s">
        <v>430</v>
      </c>
      <c r="C275" s="603">
        <v>0</v>
      </c>
    </row>
    <row r="277" ht="15.75">
      <c r="B277" s="28" t="s">
        <v>542</v>
      </c>
    </row>
    <row r="278" spans="6:7" ht="12.75">
      <c r="F278" s="1058" t="s">
        <v>432</v>
      </c>
      <c r="G278" s="1059"/>
    </row>
    <row r="279" spans="1:16" ht="22.5">
      <c r="A279" s="1002" t="s">
        <v>390</v>
      </c>
      <c r="B279" s="1003"/>
      <c r="C279" s="604" t="s">
        <v>391</v>
      </c>
      <c r="D279" s="604" t="s">
        <v>392</v>
      </c>
      <c r="E279" s="604" t="s">
        <v>468</v>
      </c>
      <c r="F279" s="604" t="s">
        <v>394</v>
      </c>
      <c r="G279" s="605" t="s">
        <v>395</v>
      </c>
      <c r="J279" s="1002" t="s">
        <v>390</v>
      </c>
      <c r="K279" s="1003"/>
      <c r="L279" s="604" t="s">
        <v>391</v>
      </c>
      <c r="M279" s="604" t="s">
        <v>392</v>
      </c>
      <c r="N279" s="604" t="s">
        <v>393</v>
      </c>
      <c r="O279" s="604" t="s">
        <v>394</v>
      </c>
      <c r="P279" s="605" t="s">
        <v>395</v>
      </c>
    </row>
    <row r="280" spans="1:16" ht="15.75">
      <c r="A280" s="543"/>
      <c r="B280" s="548" t="s">
        <v>433</v>
      </c>
      <c r="C280" s="17"/>
      <c r="D280" s="17"/>
      <c r="E280" s="673">
        <v>10</v>
      </c>
      <c r="F280" s="17"/>
      <c r="G280" s="5"/>
      <c r="J280" s="543"/>
      <c r="K280" s="22"/>
      <c r="L280" s="17"/>
      <c r="M280" s="606" t="s">
        <v>433</v>
      </c>
      <c r="N280" s="673">
        <f>E280</f>
        <v>10</v>
      </c>
      <c r="O280" s="17"/>
      <c r="P280" s="5"/>
    </row>
    <row r="281" spans="1:16" ht="12.75">
      <c r="A281" s="549" t="s">
        <v>397</v>
      </c>
      <c r="B281" s="17" t="s">
        <v>398</v>
      </c>
      <c r="C281" s="54"/>
      <c r="D281" s="54"/>
      <c r="E281" s="54"/>
      <c r="F281" s="54"/>
      <c r="G281" s="5"/>
      <c r="J281" s="549" t="s">
        <v>397</v>
      </c>
      <c r="K281" s="11" t="s">
        <v>398</v>
      </c>
      <c r="L281" s="54"/>
      <c r="M281" s="54"/>
      <c r="N281" s="54"/>
      <c r="O281" s="54"/>
      <c r="P281" s="5"/>
    </row>
    <row r="282" spans="1:16" ht="12.75">
      <c r="A282" s="549"/>
      <c r="B282" s="552" t="s">
        <v>399</v>
      </c>
      <c r="C282" s="54"/>
      <c r="D282" s="54"/>
      <c r="E282" s="54"/>
      <c r="F282" s="54"/>
      <c r="G282" s="5"/>
      <c r="J282" s="549"/>
      <c r="K282" s="11"/>
      <c r="L282" s="54"/>
      <c r="M282" s="54"/>
      <c r="N282" s="54"/>
      <c r="O282" s="54"/>
      <c r="P282" s="5"/>
    </row>
    <row r="283" spans="1:16" ht="12.75">
      <c r="A283" s="553">
        <v>1</v>
      </c>
      <c r="B283" s="54" t="s">
        <v>400</v>
      </c>
      <c r="C283" s="554">
        <v>60</v>
      </c>
      <c r="D283" s="554">
        <f>+C283</f>
        <v>60</v>
      </c>
      <c r="E283" s="554">
        <v>2</v>
      </c>
      <c r="F283" s="555">
        <f aca="true" t="shared" si="11" ref="F283:F288">+D283*E283</f>
        <v>120</v>
      </c>
      <c r="G283" s="5"/>
      <c r="J283" s="5"/>
      <c r="K283" s="5"/>
      <c r="L283" s="5"/>
      <c r="M283" s="5"/>
      <c r="N283" s="5"/>
      <c r="O283" s="5"/>
      <c r="P283" s="5"/>
    </row>
    <row r="284" spans="1:16" ht="12.75">
      <c r="A284" s="553">
        <f>+A283+1</f>
        <v>2</v>
      </c>
      <c r="B284" s="54" t="s">
        <v>401</v>
      </c>
      <c r="C284" s="554">
        <v>120</v>
      </c>
      <c r="D284" s="554">
        <f aca="true" t="shared" si="12" ref="D284:D293">+C284</f>
        <v>120</v>
      </c>
      <c r="E284" s="554">
        <v>2</v>
      </c>
      <c r="F284" s="555">
        <f t="shared" si="11"/>
        <v>240</v>
      </c>
      <c r="G284" s="5"/>
      <c r="J284" s="5"/>
      <c r="K284" s="5"/>
      <c r="L284" s="5"/>
      <c r="M284" s="5"/>
      <c r="N284" s="5"/>
      <c r="O284" s="5"/>
      <c r="P284" s="5"/>
    </row>
    <row r="285" spans="1:16" ht="12.75">
      <c r="A285" s="553">
        <f>+A284+1</f>
        <v>3</v>
      </c>
      <c r="B285" s="5" t="s">
        <v>402</v>
      </c>
      <c r="C285" s="554">
        <v>30</v>
      </c>
      <c r="D285" s="554">
        <f t="shared" si="12"/>
        <v>30</v>
      </c>
      <c r="E285" s="554">
        <v>1</v>
      </c>
      <c r="F285" s="555">
        <f t="shared" si="11"/>
        <v>30</v>
      </c>
      <c r="G285" s="5"/>
      <c r="J285" s="5"/>
      <c r="K285" s="5"/>
      <c r="L285" s="5"/>
      <c r="M285" s="5"/>
      <c r="N285" s="5"/>
      <c r="O285" s="5"/>
      <c r="P285" s="5"/>
    </row>
    <row r="286" spans="1:16" ht="12.75">
      <c r="A286" s="553">
        <f>+A285+1</f>
        <v>4</v>
      </c>
      <c r="B286" s="5" t="s">
        <v>434</v>
      </c>
      <c r="C286" s="554">
        <v>60</v>
      </c>
      <c r="D286" s="554">
        <f t="shared" si="12"/>
        <v>60</v>
      </c>
      <c r="E286" s="554">
        <v>2</v>
      </c>
      <c r="F286" s="555">
        <f t="shared" si="11"/>
        <v>120</v>
      </c>
      <c r="G286" s="5"/>
      <c r="J286" s="5"/>
      <c r="K286" s="5"/>
      <c r="L286" s="5"/>
      <c r="M286" s="5"/>
      <c r="N286" s="5"/>
      <c r="O286" s="5"/>
      <c r="P286" s="5"/>
    </row>
    <row r="287" spans="1:16" ht="12.75">
      <c r="A287" s="553">
        <f>+A286+1</f>
        <v>5</v>
      </c>
      <c r="B287" s="5" t="s">
        <v>435</v>
      </c>
      <c r="C287" s="8">
        <f>15*(1-C$10)</f>
        <v>15</v>
      </c>
      <c r="D287" s="8">
        <f t="shared" si="12"/>
        <v>15</v>
      </c>
      <c r="E287" s="554">
        <v>2</v>
      </c>
      <c r="F287" s="555">
        <f t="shared" si="11"/>
        <v>30</v>
      </c>
      <c r="G287" s="570"/>
      <c r="J287" s="5"/>
      <c r="K287" s="5"/>
      <c r="L287" s="5"/>
      <c r="M287" s="5"/>
      <c r="N287" s="5"/>
      <c r="O287" s="5"/>
      <c r="P287" s="5"/>
    </row>
    <row r="288" spans="1:16" ht="12.75">
      <c r="A288" s="553">
        <f>+A287+1</f>
        <v>6</v>
      </c>
      <c r="B288" s="5" t="s">
        <v>403</v>
      </c>
      <c r="C288" s="8">
        <v>30</v>
      </c>
      <c r="D288" s="8">
        <f t="shared" si="12"/>
        <v>30</v>
      </c>
      <c r="E288" s="554">
        <v>2</v>
      </c>
      <c r="F288" s="609">
        <f t="shared" si="11"/>
        <v>60</v>
      </c>
      <c r="G288" s="5"/>
      <c r="J288" s="5"/>
      <c r="K288" s="5"/>
      <c r="L288" s="5"/>
      <c r="M288" s="5"/>
      <c r="N288" s="5"/>
      <c r="O288" s="5"/>
      <c r="P288" s="8"/>
    </row>
    <row r="289" spans="1:16" ht="13.5" thickBot="1">
      <c r="A289" s="198"/>
      <c r="B289" s="587" t="s">
        <v>405</v>
      </c>
      <c r="C289" s="8"/>
      <c r="D289" s="8"/>
      <c r="E289" s="554"/>
      <c r="F289" s="609"/>
      <c r="G289" s="570"/>
      <c r="J289" s="5"/>
      <c r="K289" s="611"/>
      <c r="L289" s="570"/>
      <c r="M289" s="570"/>
      <c r="N289" s="5"/>
      <c r="O289" s="5"/>
      <c r="P289" s="8"/>
    </row>
    <row r="290" spans="1:16" ht="13.5" thickBot="1">
      <c r="A290" s="198">
        <f>+A288+1</f>
        <v>7</v>
      </c>
      <c r="B290" s="5" t="s">
        <v>436</v>
      </c>
      <c r="C290" s="8">
        <f>15*(1-C$10)</f>
        <v>15</v>
      </c>
      <c r="D290" s="554">
        <f t="shared" si="12"/>
        <v>15</v>
      </c>
      <c r="E290" s="554">
        <v>1</v>
      </c>
      <c r="F290" s="607"/>
      <c r="G290" s="562">
        <f>+E290*D290</f>
        <v>15</v>
      </c>
      <c r="H290" s="576"/>
      <c r="I290" s="22"/>
      <c r="J290" s="5"/>
      <c r="K290" s="608"/>
      <c r="L290" s="558"/>
      <c r="M290" s="558"/>
      <c r="N290" s="8"/>
      <c r="O290" s="609"/>
      <c r="P290" s="8"/>
    </row>
    <row r="291" spans="1:16" ht="12.75">
      <c r="A291" s="5">
        <f>+A290+1</f>
        <v>8</v>
      </c>
      <c r="B291" s="616" t="s">
        <v>551</v>
      </c>
      <c r="C291" s="8">
        <v>40</v>
      </c>
      <c r="D291" s="554">
        <v>40</v>
      </c>
      <c r="E291" s="8">
        <v>1</v>
      </c>
      <c r="F291" s="607"/>
      <c r="G291" s="568">
        <f>+E291*D291</f>
        <v>40</v>
      </c>
      <c r="H291" s="166"/>
      <c r="I291" s="22"/>
      <c r="J291" s="23"/>
      <c r="K291" s="559"/>
      <c r="L291" s="563"/>
      <c r="M291" s="564"/>
      <c r="N291" s="565"/>
      <c r="O291" s="609"/>
      <c r="P291" s="8"/>
    </row>
    <row r="292" spans="1:16" ht="12.75">
      <c r="A292" s="5">
        <f>+A291+1</f>
        <v>9</v>
      </c>
      <c r="B292" s="570" t="s">
        <v>552</v>
      </c>
      <c r="C292" s="8">
        <f>15*(1-C$10)</f>
        <v>15</v>
      </c>
      <c r="D292" s="565">
        <f t="shared" si="12"/>
        <v>15</v>
      </c>
      <c r="E292" s="8">
        <v>1</v>
      </c>
      <c r="F292" s="610"/>
      <c r="G292" s="568">
        <f>+E292*D292</f>
        <v>15</v>
      </c>
      <c r="H292" s="166"/>
      <c r="I292" s="22"/>
      <c r="J292" s="23"/>
      <c r="K292" s="566"/>
      <c r="L292" s="8"/>
      <c r="M292" s="569"/>
      <c r="N292" s="565"/>
      <c r="O292" s="609"/>
      <c r="P292" s="8"/>
    </row>
    <row r="293" spans="1:16" ht="12.75">
      <c r="A293" s="23">
        <f aca="true" t="shared" si="13" ref="A293:A307">+A292+1</f>
        <v>10</v>
      </c>
      <c r="B293" s="570" t="s">
        <v>543</v>
      </c>
      <c r="C293" s="8">
        <v>15</v>
      </c>
      <c r="D293" s="565">
        <f t="shared" si="12"/>
        <v>15</v>
      </c>
      <c r="E293" s="8">
        <v>1</v>
      </c>
      <c r="F293" s="610"/>
      <c r="G293" s="568">
        <f>+E293*D293</f>
        <v>15</v>
      </c>
      <c r="H293" s="166"/>
      <c r="I293" s="22"/>
      <c r="J293" s="23"/>
      <c r="K293" s="566"/>
      <c r="L293" s="8"/>
      <c r="M293" s="569"/>
      <c r="N293" s="565"/>
      <c r="O293" s="609"/>
      <c r="P293" s="8"/>
    </row>
    <row r="294" spans="1:16" ht="13.5" thickBot="1">
      <c r="A294" s="23">
        <f t="shared" si="13"/>
        <v>11</v>
      </c>
      <c r="B294" s="570" t="s">
        <v>544</v>
      </c>
      <c r="C294" s="578">
        <v>30</v>
      </c>
      <c r="D294" s="749">
        <v>30</v>
      </c>
      <c r="E294" s="565">
        <v>1</v>
      </c>
      <c r="F294" s="610"/>
      <c r="G294" s="568">
        <v>30</v>
      </c>
      <c r="H294" s="166"/>
      <c r="I294" s="22"/>
      <c r="J294" s="23"/>
      <c r="K294" s="747"/>
      <c r="L294" s="558"/>
      <c r="M294" s="748"/>
      <c r="N294" s="565"/>
      <c r="O294" s="609"/>
      <c r="P294" s="8"/>
    </row>
    <row r="295" spans="1:16" ht="12.75">
      <c r="A295" s="23">
        <f t="shared" si="13"/>
        <v>12</v>
      </c>
      <c r="B295" s="562" t="s">
        <v>545</v>
      </c>
      <c r="C295" s="563">
        <v>40</v>
      </c>
      <c r="D295" s="561"/>
      <c r="E295" s="565"/>
      <c r="F295" s="610"/>
      <c r="G295" s="568"/>
      <c r="H295" s="166"/>
      <c r="I295" s="22"/>
      <c r="J295" s="23"/>
      <c r="K295" s="747"/>
      <c r="L295" s="558"/>
      <c r="M295" s="748"/>
      <c r="N295" s="565"/>
      <c r="O295" s="609"/>
      <c r="P295" s="8"/>
    </row>
    <row r="296" spans="1:16" ht="12.75">
      <c r="A296" s="23">
        <f t="shared" si="13"/>
        <v>13</v>
      </c>
      <c r="B296" s="630" t="s">
        <v>546</v>
      </c>
      <c r="C296" s="581">
        <v>40</v>
      </c>
      <c r="D296" s="567"/>
      <c r="E296" s="565"/>
      <c r="F296" s="610"/>
      <c r="G296" s="568"/>
      <c r="H296" s="166"/>
      <c r="I296" s="22"/>
      <c r="J296" s="23"/>
      <c r="K296" s="747"/>
      <c r="L296" s="558"/>
      <c r="M296" s="748"/>
      <c r="N296" s="565"/>
      <c r="O296" s="609"/>
      <c r="P296" s="8"/>
    </row>
    <row r="297" spans="1:16" ht="12.75">
      <c r="A297" s="23">
        <f t="shared" si="13"/>
        <v>14</v>
      </c>
      <c r="B297" s="568" t="s">
        <v>547</v>
      </c>
      <c r="C297" s="8">
        <f>15*(1-C$10)</f>
        <v>15</v>
      </c>
      <c r="D297" s="569"/>
      <c r="E297" s="565"/>
      <c r="F297" s="588"/>
      <c r="G297" s="568"/>
      <c r="H297" s="166"/>
      <c r="I297" s="22"/>
      <c r="J297" s="5"/>
      <c r="K297" s="580"/>
      <c r="L297" s="581"/>
      <c r="M297" s="581"/>
      <c r="N297" s="8"/>
      <c r="O297" s="609"/>
      <c r="P297" s="8"/>
    </row>
    <row r="298" spans="1:16" ht="12.75">
      <c r="A298" s="23">
        <f t="shared" si="13"/>
        <v>15</v>
      </c>
      <c r="B298" s="568" t="s">
        <v>548</v>
      </c>
      <c r="C298" s="8">
        <v>40</v>
      </c>
      <c r="D298" s="569"/>
      <c r="E298" s="565"/>
      <c r="F298" s="588"/>
      <c r="G298" s="568"/>
      <c r="H298" s="166"/>
      <c r="I298" s="22"/>
      <c r="J298" s="5"/>
      <c r="K298" s="583"/>
      <c r="L298" s="8"/>
      <c r="M298" s="8"/>
      <c r="N298" s="565"/>
      <c r="O298" s="8"/>
      <c r="P298" s="8"/>
    </row>
    <row r="299" spans="1:16" ht="12.75">
      <c r="A299" s="23">
        <f t="shared" si="13"/>
        <v>16</v>
      </c>
      <c r="B299" s="618" t="s">
        <v>549</v>
      </c>
      <c r="C299" s="8">
        <v>20</v>
      </c>
      <c r="D299" s="569"/>
      <c r="E299" s="565"/>
      <c r="F299" s="588"/>
      <c r="G299" s="568"/>
      <c r="H299" s="166"/>
      <c r="I299" s="22"/>
      <c r="J299" s="5"/>
      <c r="K299" s="583"/>
      <c r="L299" s="8"/>
      <c r="M299" s="8"/>
      <c r="N299" s="565"/>
      <c r="O299" s="609"/>
      <c r="P299" s="8"/>
    </row>
    <row r="300" spans="1:16" ht="12.75">
      <c r="A300" s="23">
        <f t="shared" si="13"/>
        <v>17</v>
      </c>
      <c r="B300" s="568" t="s">
        <v>466</v>
      </c>
      <c r="C300" s="8">
        <f>15*(1-C$10)</f>
        <v>15</v>
      </c>
      <c r="D300" s="569"/>
      <c r="E300" s="565"/>
      <c r="F300" s="588"/>
      <c r="G300" s="582"/>
      <c r="H300" s="166"/>
      <c r="I300" s="22"/>
      <c r="J300" s="5"/>
      <c r="K300" s="5"/>
      <c r="L300" s="5"/>
      <c r="M300" s="5"/>
      <c r="N300" s="5"/>
      <c r="O300" s="5"/>
      <c r="P300" s="8"/>
    </row>
    <row r="301" spans="1:16" ht="13.5" thickBot="1">
      <c r="A301" s="23">
        <f t="shared" si="13"/>
        <v>18</v>
      </c>
      <c r="B301" s="619" t="s">
        <v>550</v>
      </c>
      <c r="C301" s="558">
        <v>30</v>
      </c>
      <c r="D301" s="748">
        <f>SUM(C295:C301)</f>
        <v>200</v>
      </c>
      <c r="E301" s="565">
        <v>9</v>
      </c>
      <c r="F301" s="588"/>
      <c r="G301" s="582">
        <f>+E301*D301</f>
        <v>1800</v>
      </c>
      <c r="H301" s="166"/>
      <c r="I301" s="22"/>
      <c r="J301" s="5"/>
      <c r="K301" s="5"/>
      <c r="L301" s="5"/>
      <c r="M301" s="5"/>
      <c r="N301" s="5"/>
      <c r="O301" s="5"/>
      <c r="P301" s="8"/>
    </row>
    <row r="302" spans="1:16" ht="13.5" thickTop="1">
      <c r="A302" s="23">
        <f t="shared" si="13"/>
        <v>19</v>
      </c>
      <c r="B302" s="751" t="s">
        <v>545</v>
      </c>
      <c r="C302" s="752">
        <v>40</v>
      </c>
      <c r="D302" s="753"/>
      <c r="E302" s="565"/>
      <c r="F302" s="574"/>
      <c r="G302" s="582"/>
      <c r="H302" s="166"/>
      <c r="I302" s="22"/>
      <c r="J302" s="5"/>
      <c r="K302" s="5"/>
      <c r="L302" s="5"/>
      <c r="M302" s="5"/>
      <c r="N302" s="5"/>
      <c r="O302" s="5"/>
      <c r="P302" s="8"/>
    </row>
    <row r="303" spans="1:16" ht="12.75">
      <c r="A303" s="23">
        <f t="shared" si="13"/>
        <v>20</v>
      </c>
      <c r="B303" s="754" t="s">
        <v>546</v>
      </c>
      <c r="C303" s="8">
        <v>40</v>
      </c>
      <c r="D303" s="755"/>
      <c r="E303" s="565"/>
      <c r="F303" s="574"/>
      <c r="G303" s="582"/>
      <c r="H303" s="166"/>
      <c r="I303" s="22"/>
      <c r="J303" s="5"/>
      <c r="K303" s="5"/>
      <c r="L303" s="5"/>
      <c r="M303" s="5"/>
      <c r="N303" s="5"/>
      <c r="O303" s="5"/>
      <c r="P303" s="8"/>
    </row>
    <row r="304" spans="1:16" ht="12.75">
      <c r="A304" s="23">
        <f t="shared" si="13"/>
        <v>21</v>
      </c>
      <c r="B304" s="754" t="s">
        <v>547</v>
      </c>
      <c r="C304" s="8">
        <v>15</v>
      </c>
      <c r="D304" s="755"/>
      <c r="E304" s="565"/>
      <c r="F304" s="574"/>
      <c r="G304" s="582"/>
      <c r="H304" s="166"/>
      <c r="I304" s="22"/>
      <c r="J304" s="5"/>
      <c r="K304" s="5"/>
      <c r="L304" s="5"/>
      <c r="M304" s="5"/>
      <c r="N304" s="5"/>
      <c r="O304" s="5"/>
      <c r="P304" s="8"/>
    </row>
    <row r="305" spans="1:16" ht="16.5" thickBot="1">
      <c r="A305" s="23">
        <f t="shared" si="13"/>
        <v>22</v>
      </c>
      <c r="B305" s="756" t="s">
        <v>548</v>
      </c>
      <c r="C305" s="757">
        <v>40</v>
      </c>
      <c r="D305" s="758">
        <f>SUM(C302:C305)</f>
        <v>135</v>
      </c>
      <c r="E305" s="554">
        <v>1</v>
      </c>
      <c r="F305" s="607"/>
      <c r="G305" s="582">
        <f>+E305*D305</f>
        <v>135</v>
      </c>
      <c r="H305" s="166"/>
      <c r="I305" s="22"/>
      <c r="J305" s="5"/>
      <c r="K305" s="5"/>
      <c r="L305" s="5"/>
      <c r="M305" s="5"/>
      <c r="N305" s="5"/>
      <c r="O305" s="5"/>
      <c r="P305" s="585"/>
    </row>
    <row r="306" spans="1:16" ht="13.5" thickTop="1">
      <c r="A306" s="23">
        <f t="shared" si="13"/>
        <v>23</v>
      </c>
      <c r="B306" s="750" t="s">
        <v>450</v>
      </c>
      <c r="C306" s="554">
        <v>5</v>
      </c>
      <c r="D306" s="635"/>
      <c r="E306" s="574"/>
      <c r="F306" s="610"/>
      <c r="G306" s="568"/>
      <c r="H306" s="166"/>
      <c r="I306" s="22"/>
      <c r="J306" s="5"/>
      <c r="K306" s="5"/>
      <c r="L306" s="5"/>
      <c r="M306" s="5"/>
      <c r="N306" s="5"/>
      <c r="O306" s="5"/>
      <c r="P306" s="5"/>
    </row>
    <row r="307" spans="1:16" ht="16.5" thickBot="1">
      <c r="A307" s="23">
        <f t="shared" si="13"/>
        <v>24</v>
      </c>
      <c r="B307" s="577" t="s">
        <v>451</v>
      </c>
      <c r="C307" s="578">
        <f>15*(1-C$10)</f>
        <v>15</v>
      </c>
      <c r="D307" s="573">
        <f>SUM(C305:C307)</f>
        <v>60</v>
      </c>
      <c r="E307" s="574">
        <v>1</v>
      </c>
      <c r="F307" s="610"/>
      <c r="G307" s="568">
        <f>+E307*D307</f>
        <v>60</v>
      </c>
      <c r="H307" s="636"/>
      <c r="I307" s="615"/>
      <c r="J307" s="5"/>
      <c r="K307" s="5"/>
      <c r="L307" s="5"/>
      <c r="M307" s="5"/>
      <c r="N307" s="5"/>
      <c r="O307" s="5"/>
      <c r="P307" s="5"/>
    </row>
    <row r="308" spans="1:16" ht="16.5" thickBot="1">
      <c r="A308" s="23"/>
      <c r="B308" s="553"/>
      <c r="C308" s="581"/>
      <c r="D308" s="554"/>
      <c r="E308" s="574"/>
      <c r="F308" s="610"/>
      <c r="G308" s="577"/>
      <c r="H308" s="614">
        <f>SUM(G290:G308)</f>
        <v>2110</v>
      </c>
      <c r="I308" s="615"/>
      <c r="J308" s="5"/>
      <c r="K308" s="5"/>
      <c r="L308" s="5"/>
      <c r="M308" s="5"/>
      <c r="N308" s="5"/>
      <c r="O308" s="5"/>
      <c r="P308" s="585">
        <f>SUM(P281:P307)</f>
        <v>0</v>
      </c>
    </row>
    <row r="309" spans="4:7" ht="15.75">
      <c r="D309" s="28" t="s">
        <v>416</v>
      </c>
      <c r="E309" s="3" t="s">
        <v>417</v>
      </c>
      <c r="F309" s="585">
        <f>SUM(F283:F308)</f>
        <v>600</v>
      </c>
      <c r="G309" s="585">
        <f>SUM(G283:G308)</f>
        <v>2110</v>
      </c>
    </row>
    <row r="310" spans="5:7" ht="15.75">
      <c r="E310" s="3" t="s">
        <v>418</v>
      </c>
      <c r="F310" s="585">
        <f>+F309/60</f>
        <v>10</v>
      </c>
      <c r="G310" s="585">
        <f>+G309/60</f>
        <v>35.166666666666664</v>
      </c>
    </row>
    <row r="312" ht="15.75">
      <c r="B312" s="28" t="s">
        <v>452</v>
      </c>
    </row>
    <row r="313" spans="6:7" ht="12.75">
      <c r="F313" s="1058" t="s">
        <v>432</v>
      </c>
      <c r="G313" s="1059"/>
    </row>
    <row r="314" spans="1:16" ht="22.5">
      <c r="A314" s="1002" t="s">
        <v>390</v>
      </c>
      <c r="B314" s="1003"/>
      <c r="C314" s="604" t="s">
        <v>391</v>
      </c>
      <c r="D314" s="604" t="s">
        <v>392</v>
      </c>
      <c r="E314" s="604" t="s">
        <v>393</v>
      </c>
      <c r="F314" s="604" t="s">
        <v>394</v>
      </c>
      <c r="G314" s="605" t="s">
        <v>395</v>
      </c>
      <c r="J314" s="1002" t="s">
        <v>390</v>
      </c>
      <c r="K314" s="1003"/>
      <c r="L314" s="604" t="s">
        <v>391</v>
      </c>
      <c r="M314" s="604" t="s">
        <v>392</v>
      </c>
      <c r="N314" s="604" t="s">
        <v>393</v>
      </c>
      <c r="O314" s="604" t="s">
        <v>394</v>
      </c>
      <c r="P314" s="605" t="s">
        <v>395</v>
      </c>
    </row>
    <row r="315" spans="1:16" ht="15.75">
      <c r="A315" s="543"/>
      <c r="B315" s="606" t="s">
        <v>433</v>
      </c>
      <c r="C315" s="17"/>
      <c r="D315" s="17"/>
      <c r="E315" s="673">
        <f>E280</f>
        <v>10</v>
      </c>
      <c r="F315" s="17"/>
      <c r="G315" s="5"/>
      <c r="J315" s="29"/>
      <c r="L315" s="17"/>
      <c r="M315" s="606" t="s">
        <v>433</v>
      </c>
      <c r="N315" s="673">
        <f>E280</f>
        <v>10</v>
      </c>
      <c r="O315" s="17"/>
      <c r="P315" s="5"/>
    </row>
    <row r="316" spans="1:16" ht="12.75">
      <c r="A316" s="549" t="s">
        <v>397</v>
      </c>
      <c r="B316" s="17" t="s">
        <v>398</v>
      </c>
      <c r="C316" s="54"/>
      <c r="D316" s="54"/>
      <c r="E316" s="54"/>
      <c r="F316" s="54"/>
      <c r="G316" s="5"/>
      <c r="J316" s="549" t="s">
        <v>397</v>
      </c>
      <c r="K316" s="11" t="s">
        <v>398</v>
      </c>
      <c r="L316" s="54"/>
      <c r="M316" s="54"/>
      <c r="N316" s="54"/>
      <c r="O316" s="54"/>
      <c r="P316" s="5"/>
    </row>
    <row r="317" spans="1:16" ht="12.75">
      <c r="A317" s="549"/>
      <c r="B317" s="552" t="s">
        <v>399</v>
      </c>
      <c r="C317" s="54"/>
      <c r="D317" s="54"/>
      <c r="E317" s="54"/>
      <c r="F317" s="54"/>
      <c r="G317" s="5"/>
      <c r="J317" s="549"/>
      <c r="K317" s="11"/>
      <c r="L317" s="54"/>
      <c r="M317" s="54"/>
      <c r="N317" s="54"/>
      <c r="O317" s="54"/>
      <c r="P317" s="5"/>
    </row>
    <row r="318" spans="1:16" ht="12.75">
      <c r="A318" s="553">
        <v>1</v>
      </c>
      <c r="B318" s="54" t="s">
        <v>400</v>
      </c>
      <c r="C318" s="554">
        <v>60</v>
      </c>
      <c r="D318" s="554">
        <f aca="true" t="shared" si="14" ref="D318:D323">+C318</f>
        <v>60</v>
      </c>
      <c r="E318" s="554">
        <v>2</v>
      </c>
      <c r="F318" s="555">
        <f aca="true" t="shared" si="15" ref="F318:F323">+D318*E318</f>
        <v>120</v>
      </c>
      <c r="G318" s="5"/>
      <c r="J318" s="5"/>
      <c r="K318" s="5"/>
      <c r="L318" s="5"/>
      <c r="M318" s="5"/>
      <c r="N318" s="5"/>
      <c r="O318" s="5"/>
      <c r="P318" s="5"/>
    </row>
    <row r="319" spans="1:16" ht="12.75">
      <c r="A319" s="553">
        <f>+A318+1</f>
        <v>2</v>
      </c>
      <c r="B319" s="54" t="s">
        <v>401</v>
      </c>
      <c r="C319" s="554">
        <v>120</v>
      </c>
      <c r="D319" s="554">
        <f t="shared" si="14"/>
        <v>120</v>
      </c>
      <c r="E319" s="554">
        <v>2</v>
      </c>
      <c r="F319" s="555">
        <f t="shared" si="15"/>
        <v>240</v>
      </c>
      <c r="G319" s="5"/>
      <c r="J319" s="5"/>
      <c r="K319" s="5"/>
      <c r="L319" s="5"/>
      <c r="M319" s="5"/>
      <c r="N319" s="5"/>
      <c r="O319" s="5"/>
      <c r="P319" s="5"/>
    </row>
    <row r="320" spans="1:16" ht="12.75">
      <c r="A320" s="553">
        <f>+A319+1</f>
        <v>3</v>
      </c>
      <c r="B320" s="54" t="s">
        <v>402</v>
      </c>
      <c r="C320" s="554">
        <v>30</v>
      </c>
      <c r="D320" s="554">
        <f t="shared" si="14"/>
        <v>30</v>
      </c>
      <c r="E320" s="554">
        <v>1</v>
      </c>
      <c r="F320" s="555">
        <f t="shared" si="15"/>
        <v>30</v>
      </c>
      <c r="G320" s="5"/>
      <c r="J320" s="5"/>
      <c r="K320" s="5"/>
      <c r="L320" s="5"/>
      <c r="M320" s="5"/>
      <c r="N320" s="5"/>
      <c r="O320" s="5"/>
      <c r="P320" s="5"/>
    </row>
    <row r="321" spans="1:16" ht="12.75">
      <c r="A321" s="553">
        <f>+A320+1</f>
        <v>4</v>
      </c>
      <c r="B321" s="5" t="s">
        <v>453</v>
      </c>
      <c r="C321" s="8">
        <v>60</v>
      </c>
      <c r="D321" s="554">
        <f t="shared" si="14"/>
        <v>60</v>
      </c>
      <c r="E321" s="554">
        <v>2</v>
      </c>
      <c r="F321" s="555">
        <f t="shared" si="15"/>
        <v>120</v>
      </c>
      <c r="G321" s="5"/>
      <c r="J321" s="5"/>
      <c r="K321" s="5"/>
      <c r="L321" s="5"/>
      <c r="M321" s="5"/>
      <c r="N321" s="5"/>
      <c r="O321" s="5"/>
      <c r="P321" s="5"/>
    </row>
    <row r="322" spans="1:16" ht="12.75">
      <c r="A322" s="553">
        <f>+A321+1</f>
        <v>5</v>
      </c>
      <c r="B322" s="5" t="s">
        <v>435</v>
      </c>
      <c r="C322" s="8">
        <f>15*(1-C$10)</f>
        <v>15</v>
      </c>
      <c r="D322" s="554">
        <f t="shared" si="14"/>
        <v>15</v>
      </c>
      <c r="E322" s="554">
        <v>2</v>
      </c>
      <c r="F322" s="555">
        <f t="shared" si="15"/>
        <v>30</v>
      </c>
      <c r="G322" s="570"/>
      <c r="J322" s="5"/>
      <c r="K322" s="5"/>
      <c r="L322" s="5"/>
      <c r="M322" s="5"/>
      <c r="N322" s="5"/>
      <c r="O322" s="5"/>
      <c r="P322" s="5"/>
    </row>
    <row r="323" spans="1:16" ht="12.75">
      <c r="A323" s="553">
        <f>+A322+1</f>
        <v>6</v>
      </c>
      <c r="B323" s="5" t="s">
        <v>403</v>
      </c>
      <c r="C323" s="8">
        <v>30</v>
      </c>
      <c r="D323" s="554">
        <f t="shared" si="14"/>
        <v>30</v>
      </c>
      <c r="E323" s="8">
        <v>2</v>
      </c>
      <c r="F323" s="609">
        <f t="shared" si="15"/>
        <v>60</v>
      </c>
      <c r="G323" s="5"/>
      <c r="J323" s="5"/>
      <c r="K323" s="5"/>
      <c r="L323" s="5"/>
      <c r="M323" s="5"/>
      <c r="N323" s="5"/>
      <c r="O323" s="5"/>
      <c r="P323" s="8"/>
    </row>
    <row r="324" spans="1:16" ht="13.5" thickBot="1">
      <c r="A324" s="553"/>
      <c r="B324" s="587" t="s">
        <v>454</v>
      </c>
      <c r="C324" s="558"/>
      <c r="D324" s="557"/>
      <c r="E324" s="8"/>
      <c r="F324" s="610"/>
      <c r="G324" s="114"/>
      <c r="I324" s="22"/>
      <c r="J324" s="5"/>
      <c r="K324" s="5"/>
      <c r="L324" s="5"/>
      <c r="M324" s="5"/>
      <c r="N324" s="5"/>
      <c r="O324" s="5"/>
      <c r="P324" s="5"/>
    </row>
    <row r="325" spans="1:16" ht="12.75">
      <c r="A325" s="198">
        <f>+A323+1</f>
        <v>7</v>
      </c>
      <c r="B325" s="5" t="s">
        <v>436</v>
      </c>
      <c r="C325" s="8">
        <f>15*(1-C$10)</f>
        <v>15</v>
      </c>
      <c r="D325" s="8">
        <v>15</v>
      </c>
      <c r="E325" s="554">
        <v>1</v>
      </c>
      <c r="F325" s="607"/>
      <c r="G325" s="562">
        <f>E325*D325</f>
        <v>15</v>
      </c>
      <c r="H325" s="627"/>
      <c r="I325" s="22"/>
      <c r="J325" s="5"/>
      <c r="K325" s="5"/>
      <c r="L325" s="5"/>
      <c r="M325" s="5"/>
      <c r="N325" s="5"/>
      <c r="O325" s="5"/>
      <c r="P325" s="5"/>
    </row>
    <row r="326" spans="1:16" ht="13.5" thickBot="1">
      <c r="A326" s="5">
        <f aca="true" t="shared" si="16" ref="A326:A341">+A325+1</f>
        <v>8</v>
      </c>
      <c r="B326" s="641" t="s">
        <v>551</v>
      </c>
      <c r="C326" s="558">
        <v>40</v>
      </c>
      <c r="D326" s="558">
        <v>40</v>
      </c>
      <c r="E326" s="8">
        <v>1</v>
      </c>
      <c r="F326" s="607"/>
      <c r="G326" s="568">
        <f>E326*D326</f>
        <v>40</v>
      </c>
      <c r="H326" s="620"/>
      <c r="I326" s="22"/>
      <c r="J326" s="5"/>
      <c r="K326" s="5"/>
      <c r="L326" s="5"/>
      <c r="M326" s="5"/>
      <c r="N326" s="5"/>
      <c r="O326" s="5"/>
      <c r="P326" s="5"/>
    </row>
    <row r="327" spans="1:16" ht="12.75">
      <c r="A327" s="23">
        <f t="shared" si="16"/>
        <v>9</v>
      </c>
      <c r="B327" s="562" t="s">
        <v>552</v>
      </c>
      <c r="C327" s="563">
        <f>15*(1-C$10)</f>
        <v>15</v>
      </c>
      <c r="D327" s="564"/>
      <c r="E327" s="565"/>
      <c r="F327" s="610"/>
      <c r="G327" s="568"/>
      <c r="H327" s="620"/>
      <c r="I327" s="22"/>
      <c r="J327" s="5"/>
      <c r="K327" s="5"/>
      <c r="L327" s="5"/>
      <c r="M327" s="5"/>
      <c r="N327" s="5"/>
      <c r="O327" s="5"/>
      <c r="P327" s="5"/>
    </row>
    <row r="328" spans="1:16" ht="12.75">
      <c r="A328" s="23">
        <f t="shared" si="16"/>
        <v>10</v>
      </c>
      <c r="B328" s="568" t="s">
        <v>543</v>
      </c>
      <c r="C328" s="8">
        <v>15</v>
      </c>
      <c r="D328" s="569"/>
      <c r="E328" s="565"/>
      <c r="F328" s="610"/>
      <c r="G328" s="582"/>
      <c r="H328" s="620"/>
      <c r="I328" s="22"/>
      <c r="J328" s="5"/>
      <c r="K328" s="5"/>
      <c r="L328" s="5"/>
      <c r="M328" s="5"/>
      <c r="N328" s="5"/>
      <c r="O328" s="5"/>
      <c r="P328" s="5"/>
    </row>
    <row r="329" spans="1:16" ht="12.75">
      <c r="A329" s="23">
        <f t="shared" si="16"/>
        <v>11</v>
      </c>
      <c r="B329" s="568" t="s">
        <v>544</v>
      </c>
      <c r="C329" s="8">
        <v>40</v>
      </c>
      <c r="D329" s="569"/>
      <c r="E329" s="565"/>
      <c r="F329" s="637"/>
      <c r="G329" s="582"/>
      <c r="H329" s="620"/>
      <c r="I329" s="22"/>
      <c r="J329" s="5"/>
      <c r="K329" s="5"/>
      <c r="L329" s="5"/>
      <c r="M329" s="5"/>
      <c r="N329" s="5"/>
      <c r="O329" s="5"/>
      <c r="P329" s="5"/>
    </row>
    <row r="330" spans="1:16" ht="12.75">
      <c r="A330" s="23">
        <f t="shared" si="16"/>
        <v>12</v>
      </c>
      <c r="B330" s="568" t="s">
        <v>553</v>
      </c>
      <c r="C330" s="8">
        <v>20</v>
      </c>
      <c r="D330" s="569"/>
      <c r="E330" s="565"/>
      <c r="F330" s="638"/>
      <c r="G330" s="582"/>
      <c r="H330" s="620"/>
      <c r="I330" s="22"/>
      <c r="J330" s="5"/>
      <c r="K330" s="616"/>
      <c r="L330" s="8"/>
      <c r="M330" s="8"/>
      <c r="N330" s="8"/>
      <c r="O330" s="609"/>
      <c r="P330" s="5"/>
    </row>
    <row r="331" spans="1:16" ht="12.75">
      <c r="A331" s="23"/>
      <c r="B331" s="568" t="s">
        <v>556</v>
      </c>
      <c r="C331" s="8">
        <v>15</v>
      </c>
      <c r="D331" s="569"/>
      <c r="E331" s="565"/>
      <c r="F331" s="638"/>
      <c r="G331" s="639"/>
      <c r="H331" s="623"/>
      <c r="I331" s="22"/>
      <c r="J331" s="5"/>
      <c r="K331" s="616"/>
      <c r="L331" s="8"/>
      <c r="M331" s="8"/>
      <c r="N331" s="8"/>
      <c r="O331" s="610"/>
      <c r="P331" s="5"/>
    </row>
    <row r="332" spans="1:16" ht="12.75">
      <c r="A332" s="23"/>
      <c r="B332" s="568" t="s">
        <v>547</v>
      </c>
      <c r="C332" s="8">
        <v>15</v>
      </c>
      <c r="D332" s="569"/>
      <c r="E332" s="565"/>
      <c r="F332" s="638"/>
      <c r="G332" s="639"/>
      <c r="H332" s="623"/>
      <c r="I332" s="22"/>
      <c r="J332" s="5"/>
      <c r="K332" s="616"/>
      <c r="L332" s="8"/>
      <c r="M332" s="8"/>
      <c r="N332" s="8"/>
      <c r="O332" s="610"/>
      <c r="P332" s="5"/>
    </row>
    <row r="333" spans="1:16" ht="13.5" thickBot="1">
      <c r="A333" s="23"/>
      <c r="B333" s="577" t="s">
        <v>551</v>
      </c>
      <c r="C333" s="578">
        <v>40</v>
      </c>
      <c r="D333" s="579">
        <f>SUM(C327:C333)</f>
        <v>160</v>
      </c>
      <c r="E333" s="565">
        <v>9</v>
      </c>
      <c r="F333" s="638"/>
      <c r="G333" s="582">
        <f>E333*D333</f>
        <v>1440</v>
      </c>
      <c r="H333" s="620"/>
      <c r="I333" s="22"/>
      <c r="J333" s="5"/>
      <c r="K333" s="5"/>
      <c r="L333" s="5"/>
      <c r="M333" s="5"/>
      <c r="N333" s="5"/>
      <c r="O333" s="5"/>
      <c r="P333" s="5"/>
    </row>
    <row r="334" spans="1:16" ht="12.75">
      <c r="A334" s="5">
        <f>+A330+1</f>
        <v>13</v>
      </c>
      <c r="B334" s="562" t="s">
        <v>552</v>
      </c>
      <c r="C334" s="563">
        <f>15*(1-C$10)</f>
        <v>15</v>
      </c>
      <c r="D334" s="581">
        <v>15</v>
      </c>
      <c r="E334" s="8">
        <v>1</v>
      </c>
      <c r="F334" s="588"/>
      <c r="G334" s="568">
        <f>E334*D334</f>
        <v>15</v>
      </c>
      <c r="H334" s="620"/>
      <c r="I334" s="22"/>
      <c r="J334" s="5"/>
      <c r="K334" s="5"/>
      <c r="L334" s="5"/>
      <c r="M334" s="5"/>
      <c r="N334" s="5"/>
      <c r="O334" s="5"/>
      <c r="P334" s="5"/>
    </row>
    <row r="335" spans="1:16" ht="13.5" thickBot="1">
      <c r="A335" s="5">
        <f t="shared" si="16"/>
        <v>14</v>
      </c>
      <c r="B335" s="619" t="s">
        <v>543</v>
      </c>
      <c r="C335" s="558">
        <v>15</v>
      </c>
      <c r="D335" s="558">
        <v>15</v>
      </c>
      <c r="E335" s="5">
        <v>1</v>
      </c>
      <c r="F335" s="23"/>
      <c r="G335" s="568">
        <f>E335*D335</f>
        <v>15</v>
      </c>
      <c r="H335" s="620"/>
      <c r="I335" s="22"/>
      <c r="J335" s="5"/>
      <c r="K335" s="611"/>
      <c r="L335" s="8"/>
      <c r="M335" s="5"/>
      <c r="N335" s="8"/>
      <c r="O335" s="609"/>
      <c r="P335" s="5"/>
    </row>
    <row r="336" spans="1:16" ht="12.75">
      <c r="A336" s="23">
        <f t="shared" si="16"/>
        <v>15</v>
      </c>
      <c r="B336" s="562" t="s">
        <v>544</v>
      </c>
      <c r="C336" s="563">
        <v>40</v>
      </c>
      <c r="D336" s="564"/>
      <c r="E336" s="565"/>
      <c r="F336" s="610"/>
      <c r="G336" s="582"/>
      <c r="H336" s="620"/>
      <c r="I336" s="22"/>
      <c r="J336" s="5"/>
      <c r="K336" s="611"/>
      <c r="L336" s="5"/>
      <c r="M336" s="5"/>
      <c r="N336" s="5"/>
      <c r="O336" s="5"/>
      <c r="P336" s="8"/>
    </row>
    <row r="337" spans="1:16" ht="12.75">
      <c r="A337" s="23">
        <f t="shared" si="16"/>
        <v>16</v>
      </c>
      <c r="B337" s="568" t="s">
        <v>553</v>
      </c>
      <c r="C337" s="8">
        <v>20</v>
      </c>
      <c r="D337" s="569"/>
      <c r="E337" s="565"/>
      <c r="F337" s="610"/>
      <c r="G337" s="582">
        <f>E337*D337</f>
        <v>0</v>
      </c>
      <c r="H337" s="620"/>
      <c r="I337" s="22"/>
      <c r="J337" s="5"/>
      <c r="K337" s="5"/>
      <c r="L337" s="5"/>
      <c r="M337" s="5"/>
      <c r="N337" s="5"/>
      <c r="O337" s="5"/>
      <c r="P337" s="5"/>
    </row>
    <row r="338" spans="1:16" ht="12.75">
      <c r="A338" s="23">
        <f t="shared" si="16"/>
        <v>17</v>
      </c>
      <c r="B338" s="568" t="s">
        <v>557</v>
      </c>
      <c r="C338" s="8">
        <v>30</v>
      </c>
      <c r="D338" s="569"/>
      <c r="E338" s="565"/>
      <c r="F338" s="610"/>
      <c r="G338" s="568">
        <f>+E338*D338</f>
        <v>0</v>
      </c>
      <c r="H338" s="569"/>
      <c r="I338" s="183"/>
      <c r="J338" s="5"/>
      <c r="K338" s="5"/>
      <c r="L338" s="5"/>
      <c r="M338" s="5"/>
      <c r="N338" s="5"/>
      <c r="O338" s="5"/>
      <c r="P338" s="5"/>
    </row>
    <row r="339" spans="1:16" ht="13.5" thickBot="1">
      <c r="A339" s="23">
        <f t="shared" si="16"/>
        <v>18</v>
      </c>
      <c r="B339" s="577" t="s">
        <v>558</v>
      </c>
      <c r="C339" s="578">
        <v>20</v>
      </c>
      <c r="D339" s="579">
        <f>SUM(C336:C339)</f>
        <v>110</v>
      </c>
      <c r="E339" s="565">
        <v>9</v>
      </c>
      <c r="F339" s="607"/>
      <c r="G339" s="619">
        <f>E339*D339</f>
        <v>990</v>
      </c>
      <c r="H339" s="748"/>
      <c r="I339" s="183"/>
      <c r="J339" s="5"/>
      <c r="K339" s="5" t="s">
        <v>459</v>
      </c>
      <c r="L339" s="8">
        <v>600</v>
      </c>
      <c r="M339" s="8">
        <f>+L339</f>
        <v>600</v>
      </c>
      <c r="N339" s="8">
        <v>1</v>
      </c>
      <c r="O339" s="609">
        <f>+M339*N339</f>
        <v>600</v>
      </c>
      <c r="P339" s="5"/>
    </row>
    <row r="340" spans="1:16" ht="12.75">
      <c r="A340" s="5">
        <f t="shared" si="16"/>
        <v>19</v>
      </c>
      <c r="B340" s="553" t="s">
        <v>544</v>
      </c>
      <c r="C340" s="581">
        <v>40</v>
      </c>
      <c r="D340" s="581">
        <v>40</v>
      </c>
      <c r="E340" s="8">
        <v>1</v>
      </c>
      <c r="F340" s="607"/>
      <c r="G340" s="568">
        <f>E340*D340</f>
        <v>40</v>
      </c>
      <c r="H340" s="635"/>
      <c r="I340" s="183"/>
      <c r="J340" s="5"/>
      <c r="K340" s="5"/>
      <c r="L340" s="5"/>
      <c r="M340" s="5"/>
      <c r="N340" s="5"/>
      <c r="O340" s="5"/>
      <c r="P340" s="5"/>
    </row>
    <row r="341" spans="1:16" ht="12.75">
      <c r="A341" s="5">
        <f t="shared" si="16"/>
        <v>20</v>
      </c>
      <c r="B341" s="583" t="s">
        <v>450</v>
      </c>
      <c r="C341" s="8">
        <v>30</v>
      </c>
      <c r="D341" s="8">
        <v>30</v>
      </c>
      <c r="E341" s="8">
        <v>1</v>
      </c>
      <c r="F341" s="574"/>
      <c r="G341" s="568">
        <f>E341*D341</f>
        <v>30</v>
      </c>
      <c r="H341" s="620"/>
      <c r="I341" s="114"/>
      <c r="J341" s="24"/>
      <c r="K341" s="641"/>
      <c r="L341" s="558"/>
      <c r="M341" s="558"/>
      <c r="N341" s="8"/>
      <c r="O341" s="617"/>
      <c r="P341" s="8"/>
    </row>
    <row r="342" spans="1:16" ht="12.75">
      <c r="A342" s="5"/>
      <c r="B342" s="5"/>
      <c r="C342" s="8"/>
      <c r="D342" s="8"/>
      <c r="E342" s="8"/>
      <c r="F342" s="610"/>
      <c r="G342" s="568"/>
      <c r="H342" s="620"/>
      <c r="I342" s="114"/>
      <c r="J342" s="24"/>
      <c r="K342" s="5"/>
      <c r="L342" s="5"/>
      <c r="M342" s="5"/>
      <c r="N342" s="5"/>
      <c r="O342" s="24"/>
      <c r="P342" s="8"/>
    </row>
    <row r="343" spans="1:16" ht="16.5" thickBot="1">
      <c r="A343" s="553"/>
      <c r="B343" s="5"/>
      <c r="C343" s="8"/>
      <c r="D343" s="581"/>
      <c r="E343" s="574"/>
      <c r="F343" s="610"/>
      <c r="G343" s="577"/>
      <c r="H343" s="579">
        <f>SUM(G325:G343)</f>
        <v>2585</v>
      </c>
      <c r="I343" s="557"/>
      <c r="J343" s="24"/>
      <c r="K343" s="5"/>
      <c r="L343" s="5"/>
      <c r="M343" s="5"/>
      <c r="N343" s="5"/>
      <c r="O343" s="24"/>
      <c r="P343" s="585"/>
    </row>
    <row r="344" spans="4:7" ht="15.75">
      <c r="D344" s="468" t="s">
        <v>416</v>
      </c>
      <c r="E344" s="3" t="s">
        <v>417</v>
      </c>
      <c r="F344" s="585">
        <f>SUM(F318:F343)</f>
        <v>600</v>
      </c>
      <c r="G344" s="586">
        <f>SUM(G318:G343)</f>
        <v>2585</v>
      </c>
    </row>
    <row r="345" spans="4:7" ht="15.75">
      <c r="D345" s="235"/>
      <c r="E345" s="3" t="s">
        <v>418</v>
      </c>
      <c r="F345" s="585">
        <f>+F344/60</f>
        <v>10</v>
      </c>
      <c r="G345" s="585">
        <f>+G344/60</f>
        <v>43.083333333333336</v>
      </c>
    </row>
    <row r="346" spans="4:7" ht="15.75">
      <c r="D346" s="235"/>
      <c r="E346" s="113"/>
      <c r="F346" s="615"/>
      <c r="G346" s="615"/>
    </row>
    <row r="347" ht="12.75">
      <c r="D347" s="235"/>
    </row>
    <row r="348" spans="4:8" ht="15.75">
      <c r="D348" s="596" t="s">
        <v>424</v>
      </c>
      <c r="E348" s="3" t="s">
        <v>417</v>
      </c>
      <c r="F348" s="597">
        <f>+F344+F309</f>
        <v>1200</v>
      </c>
      <c r="H348" s="672" t="s">
        <v>490</v>
      </c>
    </row>
    <row r="349" spans="4:11" ht="18">
      <c r="D349" s="468"/>
      <c r="E349" s="3" t="s">
        <v>418</v>
      </c>
      <c r="F349" s="643">
        <f>+F348/60</f>
        <v>20</v>
      </c>
      <c r="H349" s="599" t="s">
        <v>425</v>
      </c>
      <c r="I349" s="633"/>
      <c r="J349" s="600">
        <f>ROUNDUP(F349*1.25,0)</f>
        <v>25</v>
      </c>
      <c r="K349" s="603" t="s">
        <v>418</v>
      </c>
    </row>
    <row r="350" spans="4:10" ht="18">
      <c r="D350" s="468"/>
      <c r="H350" s="157"/>
      <c r="I350" s="157"/>
      <c r="J350" s="601"/>
    </row>
    <row r="351" spans="4:10" ht="18">
      <c r="D351" s="468" t="s">
        <v>426</v>
      </c>
      <c r="F351" s="3" t="s">
        <v>417</v>
      </c>
      <c r="G351" s="585">
        <f>+G344+G309</f>
        <v>4695</v>
      </c>
      <c r="H351" s="157"/>
      <c r="I351" s="157"/>
      <c r="J351" s="601"/>
    </row>
    <row r="352" spans="4:10" ht="18">
      <c r="D352" s="235"/>
      <c r="F352" s="3" t="s">
        <v>418</v>
      </c>
      <c r="G352" s="585">
        <f>+G351/60</f>
        <v>78.25</v>
      </c>
      <c r="H352" s="157"/>
      <c r="I352" s="157"/>
      <c r="J352" s="601"/>
    </row>
    <row r="353" spans="4:10" ht="18">
      <c r="D353" s="235"/>
      <c r="H353" s="157"/>
      <c r="I353" s="157"/>
      <c r="J353" s="601"/>
    </row>
    <row r="354" spans="4:10" ht="18">
      <c r="D354" s="596" t="s">
        <v>554</v>
      </c>
      <c r="F354" s="3" t="s">
        <v>417</v>
      </c>
      <c r="G354" s="597">
        <f>+G351/E$280</f>
        <v>469.5</v>
      </c>
      <c r="H354" s="157"/>
      <c r="I354" s="157"/>
      <c r="J354" s="601"/>
    </row>
    <row r="355" spans="4:10" ht="18">
      <c r="D355" s="596" t="s">
        <v>555</v>
      </c>
      <c r="F355" s="3"/>
      <c r="G355" s="597">
        <f>G354/12</f>
        <v>39.125</v>
      </c>
      <c r="H355" s="157"/>
      <c r="I355" s="157"/>
      <c r="J355" s="601"/>
    </row>
    <row r="356" spans="4:11" ht="18">
      <c r="D356" s="759" t="s">
        <v>559</v>
      </c>
      <c r="F356" s="3" t="s">
        <v>418</v>
      </c>
      <c r="G356" s="602">
        <f>G355/60</f>
        <v>0.6520833333333333</v>
      </c>
      <c r="H356" s="599" t="s">
        <v>425</v>
      </c>
      <c r="I356" s="633"/>
      <c r="J356" s="600">
        <f>ROUNDUP(+G356*1.25,1)</f>
        <v>0.9</v>
      </c>
      <c r="K356" s="603" t="s">
        <v>418</v>
      </c>
    </row>
    <row r="358" spans="1:12" ht="13.5" thickBot="1">
      <c r="A358" s="309"/>
      <c r="B358" s="309"/>
      <c r="C358" s="309"/>
      <c r="D358" s="309"/>
      <c r="E358" s="309"/>
      <c r="F358" s="309"/>
      <c r="G358" s="309"/>
      <c r="H358" s="309"/>
      <c r="I358" s="309"/>
      <c r="J358" s="309"/>
      <c r="K358" s="309"/>
      <c r="L358" s="309"/>
    </row>
    <row r="359" spans="1:12" ht="24.75" thickBot="1" thickTop="1">
      <c r="A359" s="309"/>
      <c r="B359" s="1063" t="s">
        <v>666</v>
      </c>
      <c r="C359" s="1064"/>
      <c r="D359" s="1064"/>
      <c r="E359" s="1064"/>
      <c r="F359" s="1064"/>
      <c r="G359" s="1064"/>
      <c r="H359" s="1065"/>
      <c r="I359" s="309"/>
      <c r="J359" s="309"/>
      <c r="K359" s="309"/>
      <c r="L359" s="309"/>
    </row>
    <row r="360" spans="1:12" ht="13.5" thickTop="1">
      <c r="A360" s="309"/>
      <c r="B360" s="309"/>
      <c r="C360" s="309"/>
      <c r="D360" s="309"/>
      <c r="E360" s="309"/>
      <c r="F360" s="309"/>
      <c r="G360" s="309"/>
      <c r="H360" s="309"/>
      <c r="I360" s="309"/>
      <c r="J360" s="309"/>
      <c r="K360" s="309"/>
      <c r="L360" s="309"/>
    </row>
    <row r="361" spans="1:7" ht="12.75">
      <c r="A361" s="239"/>
      <c r="B361" s="239"/>
      <c r="C361" s="239"/>
      <c r="D361" s="239"/>
      <c r="E361" s="239"/>
      <c r="F361" s="239"/>
      <c r="G361" s="239"/>
    </row>
    <row r="362" spans="1:7" ht="12.75">
      <c r="A362" s="239"/>
      <c r="B362" s="239"/>
      <c r="C362" s="239"/>
      <c r="D362" s="239"/>
      <c r="E362" s="239"/>
      <c r="F362" s="239"/>
      <c r="G362" s="239"/>
    </row>
    <row r="363" spans="1:7" ht="12.75">
      <c r="A363" s="239"/>
      <c r="B363" s="239"/>
      <c r="C363" s="239"/>
      <c r="D363" s="239"/>
      <c r="E363" s="239"/>
      <c r="F363" s="239"/>
      <c r="G363" s="239"/>
    </row>
    <row r="364" spans="1:7" ht="12.75">
      <c r="A364" s="239"/>
      <c r="B364" s="239"/>
      <c r="C364" s="239"/>
      <c r="D364" s="239"/>
      <c r="E364" s="239"/>
      <c r="F364" s="239"/>
      <c r="G364" s="239"/>
    </row>
    <row r="365" spans="1:7" ht="12.75">
      <c r="A365" s="239"/>
      <c r="B365" s="239"/>
      <c r="C365" s="239"/>
      <c r="D365" s="239"/>
      <c r="E365" s="239"/>
      <c r="F365" s="239"/>
      <c r="G365" s="239"/>
    </row>
    <row r="366" spans="1:7" ht="12.75">
      <c r="A366" s="239"/>
      <c r="B366" s="239"/>
      <c r="C366" s="239"/>
      <c r="D366" s="239"/>
      <c r="E366" s="239"/>
      <c r="F366" s="239"/>
      <c r="G366" s="239"/>
    </row>
    <row r="367" spans="1:7" ht="13.5" thickBot="1">
      <c r="A367" s="546"/>
      <c r="B367" s="546"/>
      <c r="C367" s="546"/>
      <c r="D367" s="546"/>
      <c r="E367" s="546"/>
      <c r="F367" s="546"/>
      <c r="G367" s="546"/>
    </row>
    <row r="368" spans="1:7" ht="12.75">
      <c r="A368" s="239"/>
      <c r="B368" s="239"/>
      <c r="C368" s="239"/>
      <c r="D368" s="239"/>
      <c r="E368" s="239"/>
      <c r="F368" s="239"/>
      <c r="G368" s="239"/>
    </row>
    <row r="370" ht="15.75">
      <c r="B370" s="28" t="s">
        <v>667</v>
      </c>
    </row>
    <row r="372" spans="1:15" ht="34.5" customHeight="1">
      <c r="A372" s="1010" t="s">
        <v>390</v>
      </c>
      <c r="B372" s="1011"/>
      <c r="C372" s="423" t="s">
        <v>391</v>
      </c>
      <c r="D372" s="423" t="s">
        <v>392</v>
      </c>
      <c r="E372" s="423" t="s">
        <v>393</v>
      </c>
      <c r="F372" s="423" t="s">
        <v>394</v>
      </c>
      <c r="G372" s="547" t="s">
        <v>395</v>
      </c>
      <c r="J372" s="1010" t="s">
        <v>390</v>
      </c>
      <c r="K372" s="1011"/>
      <c r="L372" s="423" t="s">
        <v>391</v>
      </c>
      <c r="M372" s="423" t="s">
        <v>392</v>
      </c>
      <c r="N372" s="423" t="s">
        <v>393</v>
      </c>
      <c r="O372" s="547" t="s">
        <v>395</v>
      </c>
    </row>
    <row r="373" spans="1:15" ht="22.5" customHeight="1">
      <c r="A373" s="543"/>
      <c r="B373" s="548" t="s">
        <v>396</v>
      </c>
      <c r="C373" s="17"/>
      <c r="D373" s="17"/>
      <c r="E373" s="673">
        <v>100</v>
      </c>
      <c r="F373" s="17"/>
      <c r="G373" s="5"/>
      <c r="J373" s="543"/>
      <c r="K373" s="548" t="s">
        <v>396</v>
      </c>
      <c r="L373" s="17"/>
      <c r="M373" s="17"/>
      <c r="N373" s="673">
        <f>+E373</f>
        <v>100</v>
      </c>
      <c r="O373" s="5"/>
    </row>
    <row r="374" spans="1:15" ht="15" customHeight="1">
      <c r="A374" s="549" t="s">
        <v>397</v>
      </c>
      <c r="B374" s="17" t="s">
        <v>398</v>
      </c>
      <c r="C374" s="54"/>
      <c r="D374" s="54"/>
      <c r="E374" s="54"/>
      <c r="F374" s="54"/>
      <c r="G374" s="5"/>
      <c r="J374" s="550" t="s">
        <v>397</v>
      </c>
      <c r="K374" s="551" t="s">
        <v>398</v>
      </c>
      <c r="L374" s="5"/>
      <c r="M374" s="5"/>
      <c r="N374" s="5"/>
      <c r="O374" s="5"/>
    </row>
    <row r="375" spans="1:15" ht="18.75" customHeight="1">
      <c r="A375" s="549"/>
      <c r="B375" s="552" t="s">
        <v>399</v>
      </c>
      <c r="C375" s="54"/>
      <c r="D375" s="54"/>
      <c r="E375" s="54"/>
      <c r="F375" s="54"/>
      <c r="G375" s="5"/>
      <c r="J375" s="550"/>
      <c r="K375" s="551"/>
      <c r="L375" s="5"/>
      <c r="M375" s="5"/>
      <c r="N375" s="5"/>
      <c r="O375" s="5"/>
    </row>
    <row r="376" spans="1:15" ht="12.75">
      <c r="A376" s="553">
        <v>1</v>
      </c>
      <c r="B376" s="54" t="s">
        <v>400</v>
      </c>
      <c r="C376" s="554">
        <v>60</v>
      </c>
      <c r="D376" s="554">
        <f>+C376</f>
        <v>60</v>
      </c>
      <c r="E376" s="554">
        <v>2</v>
      </c>
      <c r="F376" s="555">
        <f>+D376*E376</f>
        <v>120</v>
      </c>
      <c r="G376" s="5"/>
      <c r="J376" s="5"/>
      <c r="K376" s="5"/>
      <c r="L376" s="5"/>
      <c r="M376" s="5"/>
      <c r="N376" s="5"/>
      <c r="O376" s="5"/>
    </row>
    <row r="377" spans="1:15" ht="12.75">
      <c r="A377" s="553">
        <v>2</v>
      </c>
      <c r="B377" s="54" t="s">
        <v>401</v>
      </c>
      <c r="C377" s="554">
        <v>120</v>
      </c>
      <c r="D377" s="554">
        <f>+C377</f>
        <v>120</v>
      </c>
      <c r="E377" s="554">
        <v>2</v>
      </c>
      <c r="F377" s="555">
        <f>+D377*E377</f>
        <v>240</v>
      </c>
      <c r="G377" s="5"/>
      <c r="J377" s="5"/>
      <c r="K377" s="5"/>
      <c r="L377" s="5"/>
      <c r="M377" s="5"/>
      <c r="N377" s="5"/>
      <c r="O377" s="5"/>
    </row>
    <row r="378" spans="1:15" ht="12.75">
      <c r="A378" s="553">
        <v>3</v>
      </c>
      <c r="B378" s="54" t="s">
        <v>402</v>
      </c>
      <c r="C378" s="554">
        <v>30</v>
      </c>
      <c r="D378" s="554">
        <f>+C378</f>
        <v>30</v>
      </c>
      <c r="E378" s="554">
        <v>1</v>
      </c>
      <c r="F378" s="555">
        <f>+D378*E378</f>
        <v>30</v>
      </c>
      <c r="G378" s="5"/>
      <c r="J378" s="5"/>
      <c r="K378" s="5"/>
      <c r="L378" s="5"/>
      <c r="M378" s="5"/>
      <c r="N378" s="5"/>
      <c r="O378" s="5"/>
    </row>
    <row r="379" spans="1:15" ht="12.75">
      <c r="A379" s="553">
        <v>4</v>
      </c>
      <c r="B379" s="54" t="s">
        <v>403</v>
      </c>
      <c r="C379" s="554">
        <v>30</v>
      </c>
      <c r="D379" s="554">
        <f>+C379</f>
        <v>30</v>
      </c>
      <c r="E379" s="554">
        <v>2</v>
      </c>
      <c r="F379" s="555">
        <f>+D379*E379</f>
        <v>60</v>
      </c>
      <c r="G379" s="5"/>
      <c r="J379" s="553"/>
      <c r="K379" s="54"/>
      <c r="L379" s="54"/>
      <c r="M379" s="54"/>
      <c r="N379" s="54"/>
      <c r="O379" s="5"/>
    </row>
    <row r="380" spans="1:15" ht="12.75">
      <c r="A380" s="553">
        <v>5</v>
      </c>
      <c r="B380" s="5" t="s">
        <v>404</v>
      </c>
      <c r="C380" s="8">
        <v>45</v>
      </c>
      <c r="D380" s="8">
        <f>+C380</f>
        <v>45</v>
      </c>
      <c r="E380" s="8">
        <v>2</v>
      </c>
      <c r="F380" s="555">
        <f>+D380*E380</f>
        <v>90</v>
      </c>
      <c r="G380" s="5"/>
      <c r="J380" s="553"/>
      <c r="K380" s="54"/>
      <c r="L380" s="54"/>
      <c r="M380" s="54"/>
      <c r="N380" s="54"/>
      <c r="O380" s="5"/>
    </row>
    <row r="381" spans="1:15" ht="21.75" customHeight="1" thickBot="1">
      <c r="A381" s="553"/>
      <c r="B381" s="556" t="s">
        <v>405</v>
      </c>
      <c r="C381" s="557"/>
      <c r="D381" s="558"/>
      <c r="E381" s="8"/>
      <c r="F381" s="555"/>
      <c r="G381" s="5"/>
      <c r="J381" s="553"/>
      <c r="K381" s="552" t="s">
        <v>406</v>
      </c>
      <c r="L381" s="54"/>
      <c r="M381" s="54"/>
      <c r="N381" s="54"/>
      <c r="O381" s="5"/>
    </row>
    <row r="382" spans="1:15" ht="12" customHeight="1">
      <c r="A382" s="198">
        <v>6</v>
      </c>
      <c r="B382" s="562" t="s">
        <v>668</v>
      </c>
      <c r="C382" s="858">
        <v>3</v>
      </c>
      <c r="D382" s="859"/>
      <c r="E382" s="554"/>
      <c r="F382" s="555"/>
      <c r="G382" s="5"/>
      <c r="J382" s="198"/>
      <c r="K382" s="552"/>
      <c r="L382" s="54"/>
      <c r="M382" s="400"/>
      <c r="N382" s="54"/>
      <c r="O382" s="5"/>
    </row>
    <row r="383" spans="1:15" ht="12" customHeight="1">
      <c r="A383" s="198">
        <v>7</v>
      </c>
      <c r="B383" s="568" t="s">
        <v>669</v>
      </c>
      <c r="C383" s="557">
        <v>6</v>
      </c>
      <c r="D383" s="860"/>
      <c r="E383" s="554"/>
      <c r="F383" s="555"/>
      <c r="G383" s="5"/>
      <c r="J383" s="198"/>
      <c r="K383" s="552"/>
      <c r="L383" s="54"/>
      <c r="M383" s="400"/>
      <c r="N383" s="54"/>
      <c r="O383" s="5"/>
    </row>
    <row r="384" spans="1:15" ht="12" customHeight="1" thickBot="1">
      <c r="A384" s="198">
        <v>8</v>
      </c>
      <c r="B384" s="568" t="s">
        <v>670</v>
      </c>
      <c r="C384" s="557">
        <v>3</v>
      </c>
      <c r="D384" s="860"/>
      <c r="E384" s="554"/>
      <c r="F384" s="555"/>
      <c r="G384" s="570"/>
      <c r="J384" s="198"/>
      <c r="K384" s="552"/>
      <c r="L384" s="54"/>
      <c r="M384" s="400"/>
      <c r="N384" s="54"/>
      <c r="O384" s="5"/>
    </row>
    <row r="385" spans="1:15" ht="12" customHeight="1" thickBot="1">
      <c r="A385" s="198">
        <v>9</v>
      </c>
      <c r="B385" s="577" t="s">
        <v>671</v>
      </c>
      <c r="C385" s="572">
        <v>6</v>
      </c>
      <c r="D385" s="573">
        <f>SUM(C382:C385)</f>
        <v>18</v>
      </c>
      <c r="E385" s="554">
        <v>25</v>
      </c>
      <c r="F385" s="607"/>
      <c r="G385" s="562">
        <f>D385*E385</f>
        <v>450</v>
      </c>
      <c r="H385" s="576"/>
      <c r="J385" s="198"/>
      <c r="K385" s="552"/>
      <c r="L385" s="54"/>
      <c r="M385" s="400"/>
      <c r="N385" s="54"/>
      <c r="O385" s="5"/>
    </row>
    <row r="386" spans="1:15" ht="12" customHeight="1" thickBot="1">
      <c r="A386" s="553"/>
      <c r="B386" s="553"/>
      <c r="C386" s="557"/>
      <c r="D386" s="183"/>
      <c r="E386" s="554"/>
      <c r="F386" s="607"/>
      <c r="G386" s="568"/>
      <c r="H386" s="166"/>
      <c r="J386" s="198"/>
      <c r="K386" s="857"/>
      <c r="L386" s="114"/>
      <c r="M386" s="22"/>
      <c r="N386" s="54"/>
      <c r="O386" s="5"/>
    </row>
    <row r="387" spans="1:15" ht="12" customHeight="1">
      <c r="A387" s="553"/>
      <c r="B387" s="114"/>
      <c r="C387" s="557"/>
      <c r="D387" s="183"/>
      <c r="E387" s="554"/>
      <c r="F387" s="607"/>
      <c r="G387" s="568"/>
      <c r="H387" s="166"/>
      <c r="J387" s="198">
        <v>1</v>
      </c>
      <c r="K387" s="562" t="s">
        <v>672</v>
      </c>
      <c r="L387" s="862">
        <v>6</v>
      </c>
      <c r="M387" s="627"/>
      <c r="N387" s="54"/>
      <c r="O387" s="5"/>
    </row>
    <row r="388" spans="1:15" ht="12" customHeight="1">
      <c r="A388" s="553"/>
      <c r="B388" s="114"/>
      <c r="C388" s="557"/>
      <c r="D388" s="183"/>
      <c r="E388" s="554"/>
      <c r="F388" s="607"/>
      <c r="G388" s="568"/>
      <c r="H388" s="166"/>
      <c r="J388" s="198">
        <v>2</v>
      </c>
      <c r="K388" s="568" t="s">
        <v>673</v>
      </c>
      <c r="L388" s="5">
        <v>15</v>
      </c>
      <c r="M388" s="620"/>
      <c r="N388" s="54"/>
      <c r="O388" s="5"/>
    </row>
    <row r="389" spans="1:15" ht="12" customHeight="1">
      <c r="A389" s="553"/>
      <c r="B389" s="114"/>
      <c r="C389" s="557"/>
      <c r="D389" s="183"/>
      <c r="E389" s="554"/>
      <c r="F389" s="607"/>
      <c r="G389" s="568"/>
      <c r="H389" s="166"/>
      <c r="J389" s="198">
        <v>3</v>
      </c>
      <c r="K389" s="568" t="s">
        <v>671</v>
      </c>
      <c r="L389" s="5">
        <v>6</v>
      </c>
      <c r="M389" s="620"/>
      <c r="N389" s="54"/>
      <c r="O389" s="5"/>
    </row>
    <row r="390" spans="1:15" ht="12" customHeight="1" thickBot="1">
      <c r="A390" s="553"/>
      <c r="B390" s="114"/>
      <c r="C390" s="557"/>
      <c r="D390" s="183"/>
      <c r="E390" s="554"/>
      <c r="F390" s="607"/>
      <c r="G390" s="568"/>
      <c r="H390" s="166"/>
      <c r="J390" s="198">
        <v>4</v>
      </c>
      <c r="K390" s="577" t="s">
        <v>674</v>
      </c>
      <c r="L390" s="863">
        <v>15</v>
      </c>
      <c r="M390" s="861">
        <f>SUM(L387:L390)</f>
        <v>42</v>
      </c>
      <c r="N390" s="54">
        <v>25</v>
      </c>
      <c r="O390" s="8">
        <f>+N390*M390</f>
        <v>1050</v>
      </c>
    </row>
    <row r="391" spans="1:15" ht="12" customHeight="1" thickBot="1">
      <c r="A391" s="553"/>
      <c r="B391" s="857"/>
      <c r="C391" s="557"/>
      <c r="D391" s="183"/>
      <c r="E391" s="554"/>
      <c r="F391" s="607"/>
      <c r="G391" s="568"/>
      <c r="H391" s="166"/>
      <c r="J391" s="198"/>
      <c r="K391" s="552"/>
      <c r="L391" s="54"/>
      <c r="M391" s="400"/>
      <c r="N391" s="54"/>
      <c r="O391" s="5"/>
    </row>
    <row r="392" spans="1:15" ht="12.75">
      <c r="A392" s="553">
        <v>10</v>
      </c>
      <c r="B392" s="559" t="s">
        <v>407</v>
      </c>
      <c r="C392" s="560">
        <v>15</v>
      </c>
      <c r="D392" s="561"/>
      <c r="E392" s="554"/>
      <c r="F392" s="574"/>
      <c r="G392" s="568"/>
      <c r="H392" s="166"/>
      <c r="J392" s="23">
        <v>5</v>
      </c>
      <c r="K392" s="562" t="s">
        <v>408</v>
      </c>
      <c r="L392" s="563">
        <v>3</v>
      </c>
      <c r="M392" s="564"/>
      <c r="N392" s="565"/>
      <c r="O392" s="5"/>
    </row>
    <row r="393" spans="1:15" ht="12.75">
      <c r="A393" s="553">
        <v>11</v>
      </c>
      <c r="B393" s="566" t="s">
        <v>409</v>
      </c>
      <c r="C393" s="554">
        <v>3</v>
      </c>
      <c r="D393" s="567"/>
      <c r="E393" s="554"/>
      <c r="F393" s="574"/>
      <c r="G393" s="568"/>
      <c r="H393" s="166"/>
      <c r="J393" s="23">
        <v>6</v>
      </c>
      <c r="K393" s="568" t="s">
        <v>410</v>
      </c>
      <c r="L393" s="8">
        <v>3</v>
      </c>
      <c r="M393" s="569"/>
      <c r="N393" s="565"/>
      <c r="O393" s="5"/>
    </row>
    <row r="394" spans="1:15" ht="12.75">
      <c r="A394" s="553">
        <v>12</v>
      </c>
      <c r="B394" s="566" t="s">
        <v>411</v>
      </c>
      <c r="C394" s="554">
        <v>15</v>
      </c>
      <c r="D394" s="567"/>
      <c r="E394" s="554"/>
      <c r="F394" s="574"/>
      <c r="G394" s="568"/>
      <c r="H394" s="166"/>
      <c r="J394" s="23">
        <v>7</v>
      </c>
      <c r="K394" s="568" t="s">
        <v>412</v>
      </c>
      <c r="L394" s="8">
        <v>5</v>
      </c>
      <c r="M394" s="569"/>
      <c r="N394" s="565"/>
      <c r="O394" s="5"/>
    </row>
    <row r="395" spans="1:15" ht="13.5" thickBot="1">
      <c r="A395" s="553">
        <v>13</v>
      </c>
      <c r="B395" s="571" t="s">
        <v>413</v>
      </c>
      <c r="C395" s="572">
        <v>3</v>
      </c>
      <c r="D395" s="573">
        <f>SUM(C392:C395)</f>
        <v>36</v>
      </c>
      <c r="E395" s="554">
        <f>E373-N399</f>
        <v>80</v>
      </c>
      <c r="F395" s="574"/>
      <c r="G395" s="582">
        <f>+E395*D395</f>
        <v>2880</v>
      </c>
      <c r="H395" s="166"/>
      <c r="I395" s="22"/>
      <c r="J395" s="23">
        <v>8</v>
      </c>
      <c r="K395" s="577" t="s">
        <v>414</v>
      </c>
      <c r="L395" s="578">
        <v>3</v>
      </c>
      <c r="M395" s="579">
        <f>SUM(L392:L395)</f>
        <v>14</v>
      </c>
      <c r="N395" s="565">
        <f>+N373</f>
        <v>100</v>
      </c>
      <c r="O395" s="8">
        <f>+N395*M395</f>
        <v>1400</v>
      </c>
    </row>
    <row r="396" spans="1:15" ht="12.75">
      <c r="A396" s="5"/>
      <c r="B396" s="580"/>
      <c r="C396" s="581"/>
      <c r="D396" s="581"/>
      <c r="E396" s="8"/>
      <c r="F396" s="574"/>
      <c r="G396" s="582"/>
      <c r="H396" s="166"/>
      <c r="I396" s="22"/>
      <c r="J396" s="23">
        <v>9</v>
      </c>
      <c r="K396" s="559" t="s">
        <v>407</v>
      </c>
      <c r="L396" s="560">
        <v>15</v>
      </c>
      <c r="M396" s="561"/>
      <c r="N396" s="5"/>
      <c r="O396" s="5"/>
    </row>
    <row r="397" spans="1:15" ht="12.75">
      <c r="A397" s="5"/>
      <c r="B397" s="583"/>
      <c r="C397" s="8"/>
      <c r="D397" s="8"/>
      <c r="E397" s="8"/>
      <c r="F397" s="574"/>
      <c r="G397" s="582"/>
      <c r="H397" s="166"/>
      <c r="I397" s="22"/>
      <c r="J397" s="23">
        <v>10</v>
      </c>
      <c r="K397" s="566" t="s">
        <v>409</v>
      </c>
      <c r="L397" s="554">
        <v>3</v>
      </c>
      <c r="M397" s="567"/>
      <c r="N397" s="5"/>
      <c r="O397" s="5"/>
    </row>
    <row r="398" spans="1:15" ht="12.75">
      <c r="A398" s="5"/>
      <c r="B398" s="5"/>
      <c r="C398" s="8"/>
      <c r="D398" s="8"/>
      <c r="E398" s="8"/>
      <c r="F398" s="574"/>
      <c r="G398" s="568"/>
      <c r="H398" s="166"/>
      <c r="I398" s="22"/>
      <c r="J398" s="23">
        <v>11</v>
      </c>
      <c r="K398" s="566" t="s">
        <v>415</v>
      </c>
      <c r="L398" s="554">
        <v>15</v>
      </c>
      <c r="M398" s="567"/>
      <c r="N398" s="5"/>
      <c r="O398" s="5"/>
    </row>
    <row r="399" spans="1:15" ht="13.5" thickBot="1">
      <c r="A399" s="5"/>
      <c r="B399" s="5"/>
      <c r="C399" s="8"/>
      <c r="D399" s="8"/>
      <c r="E399" s="8"/>
      <c r="F399" s="574"/>
      <c r="G399" s="568"/>
      <c r="H399" s="166"/>
      <c r="I399" s="22"/>
      <c r="J399" s="23">
        <v>12</v>
      </c>
      <c r="K399" s="571" t="s">
        <v>413</v>
      </c>
      <c r="L399" s="572">
        <v>3</v>
      </c>
      <c r="M399" s="573">
        <f>SUM(L396:L399)</f>
        <v>36</v>
      </c>
      <c r="N399" s="584">
        <v>20</v>
      </c>
      <c r="O399" s="8">
        <f>+N399*M399</f>
        <v>720</v>
      </c>
    </row>
    <row r="400" spans="1:15" ht="15.75">
      <c r="A400" s="5"/>
      <c r="B400" s="5"/>
      <c r="C400" s="8"/>
      <c r="D400" s="8"/>
      <c r="E400" s="8"/>
      <c r="F400" s="574"/>
      <c r="G400" s="568"/>
      <c r="H400" s="166"/>
      <c r="I400" s="22"/>
      <c r="M400" s="28" t="s">
        <v>416</v>
      </c>
      <c r="N400" s="3" t="s">
        <v>417</v>
      </c>
      <c r="O400" s="585">
        <f>SUM(O374:O399)</f>
        <v>3170</v>
      </c>
    </row>
    <row r="401" spans="1:15" ht="16.5" thickBot="1">
      <c r="A401" s="5"/>
      <c r="B401" s="5"/>
      <c r="C401" s="8"/>
      <c r="D401" s="8"/>
      <c r="E401" s="8"/>
      <c r="F401" s="574"/>
      <c r="G401" s="577"/>
      <c r="H401" s="573">
        <f>SUM(G385:G401)</f>
        <v>3330</v>
      </c>
      <c r="I401" s="183"/>
      <c r="N401" s="3" t="s">
        <v>418</v>
      </c>
      <c r="O401" s="585">
        <f>+O400/60</f>
        <v>52.833333333333336</v>
      </c>
    </row>
    <row r="402" spans="4:7" ht="20.25" customHeight="1">
      <c r="D402" s="28" t="s">
        <v>416</v>
      </c>
      <c r="E402" s="3" t="s">
        <v>417</v>
      </c>
      <c r="F402" s="585">
        <f>SUM(F374:F401)</f>
        <v>540</v>
      </c>
      <c r="G402" s="586">
        <f>SUM(G374:G401)</f>
        <v>3330</v>
      </c>
    </row>
    <row r="403" spans="5:7" ht="18.75" customHeight="1">
      <c r="E403" s="3" t="s">
        <v>418</v>
      </c>
      <c r="F403" s="879">
        <f>+F402/60</f>
        <v>9</v>
      </c>
      <c r="G403" s="879">
        <f>+G402/60</f>
        <v>55.5</v>
      </c>
    </row>
    <row r="406" ht="15.75">
      <c r="B406" s="28" t="s">
        <v>675</v>
      </c>
    </row>
    <row r="408" spans="1:15" ht="30" customHeight="1">
      <c r="A408" s="1010" t="s">
        <v>390</v>
      </c>
      <c r="B408" s="1011"/>
      <c r="C408" s="423" t="s">
        <v>391</v>
      </c>
      <c r="D408" s="423" t="s">
        <v>392</v>
      </c>
      <c r="E408" s="423" t="s">
        <v>393</v>
      </c>
      <c r="F408" s="423" t="s">
        <v>394</v>
      </c>
      <c r="G408" s="547" t="s">
        <v>395</v>
      </c>
      <c r="J408" s="1010" t="s">
        <v>390</v>
      </c>
      <c r="K408" s="1011"/>
      <c r="L408" s="423" t="s">
        <v>391</v>
      </c>
      <c r="M408" s="423" t="s">
        <v>392</v>
      </c>
      <c r="N408" s="423" t="s">
        <v>393</v>
      </c>
      <c r="O408" s="547" t="s">
        <v>395</v>
      </c>
    </row>
    <row r="409" spans="1:15" ht="19.5" customHeight="1">
      <c r="A409" s="543"/>
      <c r="B409" s="548" t="s">
        <v>420</v>
      </c>
      <c r="C409" s="17"/>
      <c r="D409" s="54"/>
      <c r="E409" s="673">
        <f>+E373</f>
        <v>100</v>
      </c>
      <c r="F409" s="54"/>
      <c r="G409" s="5"/>
      <c r="J409" s="543"/>
      <c r="K409" s="548" t="s">
        <v>420</v>
      </c>
      <c r="L409" s="17"/>
      <c r="M409" s="54"/>
      <c r="N409" s="673">
        <f>+E373</f>
        <v>100</v>
      </c>
      <c r="O409" s="5"/>
    </row>
    <row r="410" spans="1:15" ht="12.75">
      <c r="A410" s="549" t="s">
        <v>397</v>
      </c>
      <c r="B410" s="17" t="s">
        <v>398</v>
      </c>
      <c r="C410" s="54"/>
      <c r="D410" s="554"/>
      <c r="E410" s="554"/>
      <c r="F410" s="555"/>
      <c r="G410" s="5"/>
      <c r="J410" s="549" t="s">
        <v>397</v>
      </c>
      <c r="K410" s="17" t="s">
        <v>398</v>
      </c>
      <c r="L410" s="54"/>
      <c r="M410" s="554"/>
      <c r="N410" s="554"/>
      <c r="O410" s="5"/>
    </row>
    <row r="411" spans="1:15" ht="18.75" customHeight="1">
      <c r="A411" s="549"/>
      <c r="B411" s="552" t="s">
        <v>399</v>
      </c>
      <c r="C411" s="54"/>
      <c r="D411" s="554"/>
      <c r="E411" s="554"/>
      <c r="F411" s="555"/>
      <c r="G411" s="5"/>
      <c r="J411" s="5"/>
      <c r="K411" s="5"/>
      <c r="L411" s="5"/>
      <c r="M411" s="5"/>
      <c r="N411" s="5"/>
      <c r="O411" s="5"/>
    </row>
    <row r="412" spans="1:15" ht="12.75">
      <c r="A412" s="553">
        <v>1</v>
      </c>
      <c r="B412" s="54" t="s">
        <v>400</v>
      </c>
      <c r="C412" s="554">
        <v>60</v>
      </c>
      <c r="D412" s="554">
        <v>60</v>
      </c>
      <c r="E412" s="554">
        <v>2</v>
      </c>
      <c r="F412" s="555">
        <f>+D412*E412</f>
        <v>120</v>
      </c>
      <c r="G412" s="5"/>
      <c r="J412" s="5"/>
      <c r="K412" s="5"/>
      <c r="L412" s="5"/>
      <c r="M412" s="5"/>
      <c r="N412" s="5"/>
      <c r="O412" s="5"/>
    </row>
    <row r="413" spans="1:15" ht="12.75">
      <c r="A413" s="553">
        <f>+A412+1</f>
        <v>2</v>
      </c>
      <c r="B413" s="54" t="s">
        <v>401</v>
      </c>
      <c r="C413" s="554">
        <v>120</v>
      </c>
      <c r="D413" s="554">
        <v>120</v>
      </c>
      <c r="E413" s="554">
        <v>2</v>
      </c>
      <c r="F413" s="555">
        <f>+D413*E413</f>
        <v>240</v>
      </c>
      <c r="G413" s="5"/>
      <c r="J413" s="5"/>
      <c r="K413" s="5"/>
      <c r="L413" s="5"/>
      <c r="M413" s="5"/>
      <c r="N413" s="5"/>
      <c r="O413" s="5"/>
    </row>
    <row r="414" spans="1:15" ht="12.75">
      <c r="A414" s="553">
        <f>+A413+1</f>
        <v>3</v>
      </c>
      <c r="B414" s="54" t="s">
        <v>402</v>
      </c>
      <c r="C414" s="554">
        <v>30</v>
      </c>
      <c r="D414" s="554">
        <v>30</v>
      </c>
      <c r="E414" s="554">
        <v>1</v>
      </c>
      <c r="F414" s="555">
        <f>+D414*E414</f>
        <v>30</v>
      </c>
      <c r="G414" s="5"/>
      <c r="J414" s="5"/>
      <c r="K414" s="5"/>
      <c r="L414" s="5"/>
      <c r="M414" s="5"/>
      <c r="N414" s="5"/>
      <c r="O414" s="5"/>
    </row>
    <row r="415" spans="1:15" ht="12.75">
      <c r="A415" s="198">
        <f>+A414+1</f>
        <v>4</v>
      </c>
      <c r="B415" s="5" t="s">
        <v>403</v>
      </c>
      <c r="C415" s="8">
        <v>30</v>
      </c>
      <c r="D415" s="554">
        <v>30</v>
      </c>
      <c r="E415" s="554">
        <v>2</v>
      </c>
      <c r="F415" s="555">
        <f>+D415*E415</f>
        <v>60</v>
      </c>
      <c r="G415" s="5"/>
      <c r="J415" s="5"/>
      <c r="K415" s="5"/>
      <c r="L415" s="5"/>
      <c r="M415" s="5"/>
      <c r="N415" s="5"/>
      <c r="O415" s="5"/>
    </row>
    <row r="416" spans="1:15" ht="12.75">
      <c r="A416" s="198">
        <f>+A415+1</f>
        <v>5</v>
      </c>
      <c r="B416" s="5" t="s">
        <v>404</v>
      </c>
      <c r="C416" s="8">
        <v>45</v>
      </c>
      <c r="D416" s="8">
        <f>+L420</f>
        <v>3</v>
      </c>
      <c r="E416" s="8">
        <v>2</v>
      </c>
      <c r="F416" s="555">
        <f>+D416*E416</f>
        <v>6</v>
      </c>
      <c r="G416" s="5"/>
      <c r="J416" s="5"/>
      <c r="K416" s="5"/>
      <c r="L416" s="5"/>
      <c r="M416" s="5"/>
      <c r="N416" s="5"/>
      <c r="O416" s="5"/>
    </row>
    <row r="417" spans="1:15" ht="19.5" customHeight="1" thickBot="1">
      <c r="A417" s="198"/>
      <c r="B417" s="587" t="s">
        <v>405</v>
      </c>
      <c r="C417" s="558"/>
      <c r="D417" s="558"/>
      <c r="E417" s="8"/>
      <c r="F417" s="555"/>
      <c r="G417" s="371"/>
      <c r="J417" s="5"/>
      <c r="K417" s="5"/>
      <c r="L417" s="5"/>
      <c r="M417" s="5"/>
      <c r="N417" s="5"/>
      <c r="O417" s="5"/>
    </row>
    <row r="418" spans="1:15" ht="12.75">
      <c r="A418" s="198">
        <f>+A416+1</f>
        <v>6</v>
      </c>
      <c r="B418" s="562" t="s">
        <v>408</v>
      </c>
      <c r="C418" s="563">
        <v>3</v>
      </c>
      <c r="D418" s="564"/>
      <c r="E418" s="565"/>
      <c r="F418" s="588"/>
      <c r="G418" s="22"/>
      <c r="H418" s="22"/>
      <c r="I418" s="22"/>
      <c r="J418" s="24"/>
      <c r="K418" s="5"/>
      <c r="L418" s="5"/>
      <c r="M418" s="5"/>
      <c r="N418" s="5"/>
      <c r="O418" s="5"/>
    </row>
    <row r="419" spans="1:15" ht="17.25" customHeight="1" thickBot="1">
      <c r="A419" s="198">
        <f>+A418+1</f>
        <v>7</v>
      </c>
      <c r="B419" s="568" t="s">
        <v>410</v>
      </c>
      <c r="C419" s="8">
        <v>3</v>
      </c>
      <c r="D419" s="569"/>
      <c r="E419" s="565"/>
      <c r="F419" s="588"/>
      <c r="G419" s="22"/>
      <c r="H419" s="22"/>
      <c r="I419" s="22"/>
      <c r="J419" s="24"/>
      <c r="K419" s="587" t="s">
        <v>406</v>
      </c>
      <c r="L419" s="570"/>
      <c r="M419" s="570"/>
      <c r="N419" s="5"/>
      <c r="O419" s="5"/>
    </row>
    <row r="420" spans="1:15" ht="13.5" thickBot="1">
      <c r="A420" s="198">
        <f>+A419+1</f>
        <v>8</v>
      </c>
      <c r="B420" s="568" t="s">
        <v>421</v>
      </c>
      <c r="C420" s="8">
        <v>2</v>
      </c>
      <c r="D420" s="569"/>
      <c r="E420" s="565"/>
      <c r="F420" s="588"/>
      <c r="G420" s="183"/>
      <c r="H420" s="22"/>
      <c r="I420" s="22"/>
      <c r="J420" s="25">
        <v>1</v>
      </c>
      <c r="K420" s="559" t="s">
        <v>409</v>
      </c>
      <c r="L420" s="563">
        <v>3</v>
      </c>
      <c r="M420" s="564"/>
      <c r="N420" s="565"/>
      <c r="O420" s="5"/>
    </row>
    <row r="421" spans="1:15" ht="13.5" thickBot="1">
      <c r="A421" s="198">
        <f>+A420+1</f>
        <v>9</v>
      </c>
      <c r="B421" s="577" t="s">
        <v>414</v>
      </c>
      <c r="C421" s="578">
        <v>3</v>
      </c>
      <c r="D421" s="579">
        <f>SUM(C418:C421)</f>
        <v>11</v>
      </c>
      <c r="E421" s="565">
        <f>+E409</f>
        <v>100</v>
      </c>
      <c r="F421" s="23"/>
      <c r="G421" s="575">
        <f>+E421*D421</f>
        <v>1100</v>
      </c>
      <c r="H421" s="868"/>
      <c r="I421" s="129"/>
      <c r="J421" s="25">
        <f>+J420+1</f>
        <v>2</v>
      </c>
      <c r="K421" s="566" t="s">
        <v>422</v>
      </c>
      <c r="L421" s="8">
        <v>10</v>
      </c>
      <c r="M421" s="569"/>
      <c r="N421" s="565"/>
      <c r="O421" s="5"/>
    </row>
    <row r="422" spans="1:15" ht="13.5" thickBot="1">
      <c r="A422" s="25">
        <v>10</v>
      </c>
      <c r="B422" s="559" t="s">
        <v>409</v>
      </c>
      <c r="C422" s="563">
        <v>3</v>
      </c>
      <c r="D422" s="564"/>
      <c r="E422" s="565"/>
      <c r="F422" s="588"/>
      <c r="G422" s="568"/>
      <c r="H422" s="166"/>
      <c r="I422" s="22"/>
      <c r="J422" s="25">
        <f>+J421+1</f>
        <v>3</v>
      </c>
      <c r="K422" s="592" t="s">
        <v>423</v>
      </c>
      <c r="L422" s="578">
        <v>10</v>
      </c>
      <c r="M422" s="579">
        <f>SUM(L420:L422)</f>
        <v>23</v>
      </c>
      <c r="N422" s="565">
        <v>85</v>
      </c>
      <c r="O422" s="582">
        <f>+N422*M422</f>
        <v>1955</v>
      </c>
    </row>
    <row r="423" spans="1:15" ht="12.75">
      <c r="A423" s="25">
        <v>11</v>
      </c>
      <c r="B423" s="566" t="s">
        <v>422</v>
      </c>
      <c r="C423" s="8">
        <v>10</v>
      </c>
      <c r="D423" s="569"/>
      <c r="E423" s="565"/>
      <c r="F423" s="588"/>
      <c r="G423" s="582"/>
      <c r="H423" s="166"/>
      <c r="I423" s="22"/>
      <c r="J423" s="24"/>
      <c r="K423" s="553"/>
      <c r="L423" s="553"/>
      <c r="M423" s="553"/>
      <c r="N423" s="5"/>
      <c r="O423" s="553"/>
    </row>
    <row r="424" spans="1:15" ht="13.5" thickBot="1">
      <c r="A424" s="23">
        <f>+A423+1</f>
        <v>12</v>
      </c>
      <c r="B424" s="592" t="s">
        <v>423</v>
      </c>
      <c r="C424" s="578">
        <v>10</v>
      </c>
      <c r="D424" s="579">
        <f>SUM(C422:C424)</f>
        <v>23</v>
      </c>
      <c r="E424" s="584">
        <f>100-N422</f>
        <v>15</v>
      </c>
      <c r="F424" s="23"/>
      <c r="G424" s="582">
        <f>+E424*D424</f>
        <v>345</v>
      </c>
      <c r="H424" s="869"/>
      <c r="I424" s="129"/>
      <c r="J424" s="24"/>
      <c r="K424" s="18"/>
      <c r="L424" s="18"/>
      <c r="M424" s="18"/>
      <c r="N424" s="5"/>
      <c r="O424" s="553"/>
    </row>
    <row r="425" spans="1:15" ht="13.5" thickBot="1">
      <c r="A425" s="22"/>
      <c r="B425" s="452"/>
      <c r="C425" s="183"/>
      <c r="D425" s="183"/>
      <c r="E425" s="866"/>
      <c r="F425" s="867"/>
      <c r="G425" s="582"/>
      <c r="H425" s="869"/>
      <c r="I425" s="129"/>
      <c r="J425" s="25"/>
      <c r="K425" s="562" t="s">
        <v>679</v>
      </c>
      <c r="L425" s="862">
        <v>6</v>
      </c>
      <c r="M425" s="627"/>
      <c r="N425" s="24"/>
      <c r="O425" s="553"/>
    </row>
    <row r="426" spans="1:15" ht="12.75">
      <c r="A426" s="23">
        <v>13</v>
      </c>
      <c r="B426" s="876" t="s">
        <v>676</v>
      </c>
      <c r="C426" s="563">
        <v>15</v>
      </c>
      <c r="D426" s="564"/>
      <c r="E426" s="875"/>
      <c r="F426" s="23"/>
      <c r="G426" s="582"/>
      <c r="H426" s="869"/>
      <c r="I426" s="129"/>
      <c r="J426" s="25"/>
      <c r="K426" s="630" t="s">
        <v>410</v>
      </c>
      <c r="L426" s="553">
        <v>3</v>
      </c>
      <c r="M426" s="870"/>
      <c r="N426" s="24"/>
      <c r="O426" s="553"/>
    </row>
    <row r="427" spans="1:15" ht="12.75">
      <c r="A427" s="874">
        <v>14</v>
      </c>
      <c r="B427" s="877" t="s">
        <v>677</v>
      </c>
      <c r="C427" s="8">
        <v>6</v>
      </c>
      <c r="D427" s="569"/>
      <c r="E427" s="875"/>
      <c r="F427" s="23"/>
      <c r="G427" s="582"/>
      <c r="H427" s="869"/>
      <c r="I427" s="129"/>
      <c r="J427" s="25"/>
      <c r="K427" s="630" t="s">
        <v>671</v>
      </c>
      <c r="L427" s="553">
        <v>6</v>
      </c>
      <c r="M427" s="870"/>
      <c r="N427" s="24"/>
      <c r="O427" s="553"/>
    </row>
    <row r="428" spans="1:15" ht="13.5" thickBot="1">
      <c r="A428" s="874">
        <v>15</v>
      </c>
      <c r="B428" s="877" t="s">
        <v>678</v>
      </c>
      <c r="C428" s="8">
        <v>15</v>
      </c>
      <c r="D428" s="569"/>
      <c r="E428" s="875"/>
      <c r="F428" s="23"/>
      <c r="G428" s="582"/>
      <c r="H428" s="869"/>
      <c r="I428" s="129"/>
      <c r="J428" s="25"/>
      <c r="K428" s="871" t="s">
        <v>414</v>
      </c>
      <c r="L428" s="872">
        <v>3</v>
      </c>
      <c r="M428" s="873">
        <f>SUM(L425:L428)</f>
        <v>18</v>
      </c>
      <c r="N428" s="24">
        <v>25</v>
      </c>
      <c r="O428" s="582">
        <f>+N428*M428</f>
        <v>450</v>
      </c>
    </row>
    <row r="429" spans="1:15" ht="13.5" thickBot="1">
      <c r="A429" s="874">
        <v>16</v>
      </c>
      <c r="B429" s="878" t="s">
        <v>671</v>
      </c>
      <c r="C429" s="578">
        <v>6</v>
      </c>
      <c r="D429" s="579">
        <f>SUM(C426:C429)</f>
        <v>42</v>
      </c>
      <c r="E429" s="875">
        <v>25</v>
      </c>
      <c r="F429" s="23"/>
      <c r="G429" s="593">
        <f>D429*E429</f>
        <v>1050</v>
      </c>
      <c r="H429" s="594">
        <f>SUM(G421:G429)</f>
        <v>2495</v>
      </c>
      <c r="I429" s="129"/>
      <c r="J429" s="24"/>
      <c r="K429" s="553"/>
      <c r="L429" s="553"/>
      <c r="M429" s="553"/>
      <c r="N429" s="5"/>
      <c r="O429" s="553"/>
    </row>
    <row r="430" spans="1:15" ht="12.75">
      <c r="A430" s="22"/>
      <c r="B430" s="865"/>
      <c r="C430" s="183"/>
      <c r="D430" s="183"/>
      <c r="E430" s="864"/>
      <c r="F430" s="198"/>
      <c r="G430" s="557"/>
      <c r="H430" s="129"/>
      <c r="I430" s="129"/>
      <c r="J430" s="24"/>
      <c r="K430" s="553"/>
      <c r="L430" s="553"/>
      <c r="M430" s="553"/>
      <c r="N430" s="5"/>
      <c r="O430" s="553"/>
    </row>
    <row r="431" spans="4:15" ht="15.75">
      <c r="D431" s="468" t="s">
        <v>416</v>
      </c>
      <c r="E431" s="595" t="s">
        <v>417</v>
      </c>
      <c r="F431" s="585">
        <f>SUM(F412:F416)</f>
        <v>456</v>
      </c>
      <c r="G431" s="585">
        <f>SUM(G412:G429)</f>
        <v>2495</v>
      </c>
      <c r="J431" s="5"/>
      <c r="K431" s="553"/>
      <c r="L431" s="553"/>
      <c r="M431" s="553"/>
      <c r="N431" s="5"/>
      <c r="O431" s="553"/>
    </row>
    <row r="432" spans="4:15" ht="15.75">
      <c r="D432" s="235"/>
      <c r="E432" s="3" t="s">
        <v>418</v>
      </c>
      <c r="F432" s="879">
        <f>+F431/60</f>
        <v>7.6</v>
      </c>
      <c r="G432" s="879">
        <f>+G431/60</f>
        <v>41.583333333333336</v>
      </c>
      <c r="J432" s="5"/>
      <c r="K432" s="553"/>
      <c r="L432" s="553"/>
      <c r="M432" s="553"/>
      <c r="N432" s="5"/>
      <c r="O432" s="553"/>
    </row>
    <row r="433" spans="4:15" ht="15.75">
      <c r="D433" s="235"/>
      <c r="O433" s="585">
        <f>SUM(O410:O432)</f>
        <v>2405</v>
      </c>
    </row>
    <row r="434" spans="4:8" ht="15.75">
      <c r="D434" s="596" t="s">
        <v>424</v>
      </c>
      <c r="E434" s="3" t="s">
        <v>417</v>
      </c>
      <c r="F434" s="597">
        <f>+F431+F402</f>
        <v>996</v>
      </c>
      <c r="H434" s="672" t="s">
        <v>490</v>
      </c>
    </row>
    <row r="435" spans="4:10" ht="18">
      <c r="D435" s="468"/>
      <c r="E435" s="3" t="s">
        <v>418</v>
      </c>
      <c r="F435" s="598">
        <f>+F434/60</f>
        <v>16.6</v>
      </c>
      <c r="H435" s="599" t="s">
        <v>425</v>
      </c>
      <c r="I435" s="599"/>
      <c r="J435" s="600">
        <f>ROUNDUP(F435*1.25,0)</f>
        <v>21</v>
      </c>
    </row>
    <row r="436" spans="4:10" ht="18">
      <c r="D436" s="468"/>
      <c r="J436" s="601"/>
    </row>
    <row r="437" spans="4:10" ht="18">
      <c r="D437" s="468" t="s">
        <v>426</v>
      </c>
      <c r="F437" s="3" t="s">
        <v>417</v>
      </c>
      <c r="G437" s="585">
        <f>+G431+G402</f>
        <v>5825</v>
      </c>
      <c r="J437" s="601"/>
    </row>
    <row r="438" spans="4:10" ht="18">
      <c r="D438" s="235"/>
      <c r="F438" s="3" t="s">
        <v>418</v>
      </c>
      <c r="G438" s="879">
        <f>+G437/60</f>
        <v>97.08333333333333</v>
      </c>
      <c r="J438" s="601"/>
    </row>
    <row r="439" spans="4:10" ht="18">
      <c r="D439" s="235"/>
      <c r="J439" s="601"/>
    </row>
    <row r="440" spans="4:10" ht="18">
      <c r="D440" s="596" t="s">
        <v>427</v>
      </c>
      <c r="F440" s="3" t="s">
        <v>417</v>
      </c>
      <c r="G440" s="597">
        <f>+G437/E373</f>
        <v>58.25</v>
      </c>
      <c r="J440" s="601"/>
    </row>
    <row r="441" spans="6:10" ht="18">
      <c r="F441" s="3" t="s">
        <v>418</v>
      </c>
      <c r="G441" s="602">
        <f>+G440/60</f>
        <v>0.9708333333333333</v>
      </c>
      <c r="H441" s="599" t="s">
        <v>425</v>
      </c>
      <c r="I441" s="599"/>
      <c r="J441" s="600">
        <f>ROUNDUP(+G441*1.25,1)</f>
        <v>1.3</v>
      </c>
    </row>
  </sheetData>
  <sheetProtection password="C7CA" sheet="1" objects="1" scenarios="1"/>
  <mergeCells count="32">
    <mergeCell ref="A372:B372"/>
    <mergeCell ref="J372:K372"/>
    <mergeCell ref="A408:B408"/>
    <mergeCell ref="J408:K408"/>
    <mergeCell ref="B359:H359"/>
    <mergeCell ref="F313:G313"/>
    <mergeCell ref="A314:B314"/>
    <mergeCell ref="J314:K314"/>
    <mergeCell ref="B266:E266"/>
    <mergeCell ref="F278:G278"/>
    <mergeCell ref="A279:B279"/>
    <mergeCell ref="J279:K279"/>
    <mergeCell ref="B73:D73"/>
    <mergeCell ref="B171:D171"/>
    <mergeCell ref="F85:G85"/>
    <mergeCell ref="A86:B86"/>
    <mergeCell ref="F126:G126"/>
    <mergeCell ref="A127:B127"/>
    <mergeCell ref="J86:K86"/>
    <mergeCell ref="F222:G222"/>
    <mergeCell ref="A223:B223"/>
    <mergeCell ref="J223:K223"/>
    <mergeCell ref="J127:K127"/>
    <mergeCell ref="F183:G183"/>
    <mergeCell ref="A184:B184"/>
    <mergeCell ref="J184:K184"/>
    <mergeCell ref="B2:K2"/>
    <mergeCell ref="B4:C4"/>
    <mergeCell ref="A17:B17"/>
    <mergeCell ref="A43:B43"/>
    <mergeCell ref="J17:K17"/>
    <mergeCell ref="J43:K43"/>
  </mergeCells>
  <printOptions/>
  <pageMargins left="0.57" right="0.57" top="0.5" bottom="0.57" header="0.37" footer="0.5"/>
  <pageSetup fitToHeight="2" fitToWidth="1" horizontalDpi="300" verticalDpi="300" orientation="portrait" paperSize="8" scale="34" r:id="rId2"/>
  <headerFooter alignWithMargins="0">
    <oddFooter>&amp;L&amp;"Arial,Bold"&amp;8&amp;F &amp;D &amp;T</oddFooter>
  </headerFooter>
  <drawing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R92"/>
  <sheetViews>
    <sheetView workbookViewId="0" topLeftCell="A1">
      <selection activeCell="A1" sqref="A1:Q1"/>
    </sheetView>
  </sheetViews>
  <sheetFormatPr defaultColWidth="9.140625" defaultRowHeight="12.75"/>
  <cols>
    <col min="1" max="1" width="14.57421875" style="0" customWidth="1"/>
    <col min="2" max="2" width="9.8515625" style="0" customWidth="1"/>
    <col min="3" max="3" width="12.00390625" style="0" customWidth="1"/>
    <col min="4" max="5" width="11.7109375" style="0" bestFit="1" customWidth="1"/>
    <col min="6" max="7" width="10.57421875" style="0" bestFit="1" customWidth="1"/>
    <col min="8" max="8" width="6.28125" style="0" customWidth="1"/>
    <col min="9" max="10" width="11.7109375" style="0" bestFit="1" customWidth="1"/>
    <col min="11" max="11" width="12.57421875" style="0" customWidth="1"/>
    <col min="12" max="12" width="11.8515625" style="0" customWidth="1"/>
    <col min="13" max="13" width="6.421875" style="0" customWidth="1"/>
    <col min="14" max="14" width="13.28125" style="0" bestFit="1" customWidth="1"/>
    <col min="15" max="15" width="11.140625" style="0" customWidth="1"/>
    <col min="16" max="16" width="13.28125" style="0" bestFit="1" customWidth="1"/>
    <col min="17" max="17" width="11.57421875" style="0" bestFit="1" customWidth="1"/>
  </cols>
  <sheetData>
    <row r="1" spans="1:17" ht="15.75">
      <c r="A1" s="1046" t="s">
        <v>83</v>
      </c>
      <c r="B1" s="1046"/>
      <c r="C1" s="1046"/>
      <c r="D1" s="1046"/>
      <c r="E1" s="1046"/>
      <c r="F1" s="1046"/>
      <c r="G1" s="1046"/>
      <c r="H1" s="1046"/>
      <c r="I1" s="1046"/>
      <c r="J1" s="1046"/>
      <c r="K1" s="1046"/>
      <c r="L1" s="1046"/>
      <c r="M1" s="1046"/>
      <c r="N1" s="1046"/>
      <c r="O1" s="1046"/>
      <c r="P1" s="1046"/>
      <c r="Q1" s="1046"/>
    </row>
    <row r="2" spans="1:17" ht="13.5" thickBot="1">
      <c r="A2" s="309"/>
      <c r="B2" s="309"/>
      <c r="C2" s="309"/>
      <c r="D2" s="309"/>
      <c r="E2" s="309"/>
      <c r="F2" s="309"/>
      <c r="G2" s="309"/>
      <c r="H2" s="309"/>
      <c r="I2" s="309"/>
      <c r="J2" s="309"/>
      <c r="K2" s="309"/>
      <c r="L2" s="309"/>
      <c r="M2" s="309"/>
      <c r="N2" s="309"/>
      <c r="O2" s="309"/>
      <c r="P2" s="309"/>
      <c r="Q2" s="309"/>
    </row>
    <row r="3" spans="1:18" ht="28.5" customHeight="1" thickBot="1" thickTop="1">
      <c r="A3" s="309"/>
      <c r="B3" s="1047" t="s">
        <v>166</v>
      </c>
      <c r="C3" s="1048"/>
      <c r="D3" s="1048"/>
      <c r="E3" s="1048"/>
      <c r="F3" s="1048"/>
      <c r="G3" s="1048"/>
      <c r="H3" s="1048"/>
      <c r="I3" s="1048"/>
      <c r="J3" s="1048"/>
      <c r="K3" s="1048"/>
      <c r="L3" s="1048"/>
      <c r="M3" s="1048"/>
      <c r="N3" s="1048"/>
      <c r="O3" s="1048"/>
      <c r="P3" s="1049"/>
      <c r="Q3" s="316"/>
      <c r="R3" s="315"/>
    </row>
    <row r="4" spans="1:17" ht="17.25" customHeight="1" thickTop="1">
      <c r="A4" s="313"/>
      <c r="B4" s="309"/>
      <c r="C4" s="309"/>
      <c r="D4" s="309"/>
      <c r="E4" s="309"/>
      <c r="F4" s="309"/>
      <c r="G4" s="309"/>
      <c r="H4" s="317"/>
      <c r="I4" s="309"/>
      <c r="J4" s="309"/>
      <c r="K4" s="309"/>
      <c r="L4" s="309"/>
      <c r="M4" s="317"/>
      <c r="N4" s="309"/>
      <c r="O4" s="309"/>
      <c r="P4" s="309"/>
      <c r="Q4" s="309"/>
    </row>
    <row r="5" spans="1:13" ht="38.25" customHeight="1">
      <c r="A5" s="193" t="s">
        <v>185</v>
      </c>
      <c r="H5" s="22"/>
      <c r="M5" s="22"/>
    </row>
    <row r="6" spans="8:13" ht="12.75">
      <c r="H6" s="22"/>
      <c r="M6" s="22"/>
    </row>
    <row r="7" spans="4:17" ht="20.25" customHeight="1">
      <c r="D7" s="1070" t="s">
        <v>157</v>
      </c>
      <c r="E7" s="1071"/>
      <c r="F7" s="1071"/>
      <c r="G7" s="1071"/>
      <c r="H7" s="22"/>
      <c r="I7" s="1070" t="s">
        <v>156</v>
      </c>
      <c r="J7" s="1071"/>
      <c r="K7" s="1071"/>
      <c r="L7" s="1071"/>
      <c r="M7" s="22"/>
      <c r="N7" s="1070" t="s">
        <v>163</v>
      </c>
      <c r="O7" s="1070"/>
      <c r="P7" s="1071"/>
      <c r="Q7" s="1071"/>
    </row>
    <row r="8" spans="1:17" ht="17.25" customHeight="1">
      <c r="A8" s="1" t="s">
        <v>258</v>
      </c>
      <c r="D8" s="354">
        <v>1</v>
      </c>
      <c r="E8" s="355">
        <v>3</v>
      </c>
      <c r="F8" s="355">
        <v>10</v>
      </c>
      <c r="G8" s="355">
        <v>20</v>
      </c>
      <c r="H8" s="22"/>
      <c r="I8" s="354">
        <v>1</v>
      </c>
      <c r="J8" s="355">
        <v>3</v>
      </c>
      <c r="K8" s="355">
        <v>10</v>
      </c>
      <c r="L8" s="355">
        <v>20</v>
      </c>
      <c r="M8" s="22"/>
      <c r="N8" s="354">
        <v>1</v>
      </c>
      <c r="O8" s="355">
        <v>3</v>
      </c>
      <c r="P8" s="355">
        <v>10</v>
      </c>
      <c r="Q8" s="355">
        <v>20</v>
      </c>
    </row>
    <row r="9" spans="1:17" ht="18.75" customHeight="1">
      <c r="A9" s="1" t="s">
        <v>175</v>
      </c>
      <c r="B9" s="1"/>
      <c r="C9" s="351" t="s">
        <v>192</v>
      </c>
      <c r="D9" s="8">
        <f>ROUND(+'Scenario Costs All Facilities'!$G$10/1000*12*2,-2)</f>
        <v>19700</v>
      </c>
      <c r="E9" s="8">
        <f>ROUND(+'Scenario Costs All Facilities'!$G$10/1000*12/3*1.33,-2)</f>
        <v>4400</v>
      </c>
      <c r="F9" s="8">
        <f>ROUND(+'Scenario Costs All Facilities'!$G$10/1000*12/10*1.25,-2)</f>
        <v>1200</v>
      </c>
      <c r="G9" s="8">
        <f>ROUND(+'Scenario Costs All Facilities'!$G$10/1000*12/20*1.25,-2)</f>
        <v>600</v>
      </c>
      <c r="H9" s="22"/>
      <c r="I9" s="8">
        <f aca="true" t="shared" si="0" ref="I9:L10">+D9</f>
        <v>19700</v>
      </c>
      <c r="J9" s="8">
        <f t="shared" si="0"/>
        <v>4400</v>
      </c>
      <c r="K9" s="8">
        <f t="shared" si="0"/>
        <v>1200</v>
      </c>
      <c r="L9" s="8">
        <f t="shared" si="0"/>
        <v>600</v>
      </c>
      <c r="M9" s="22"/>
      <c r="N9" s="8">
        <f aca="true" t="shared" si="1" ref="N9:Q10">+D9</f>
        <v>19700</v>
      </c>
      <c r="O9" s="8">
        <f t="shared" si="1"/>
        <v>4400</v>
      </c>
      <c r="P9" s="8">
        <f t="shared" si="1"/>
        <v>1200</v>
      </c>
      <c r="Q9" s="8">
        <f t="shared" si="1"/>
        <v>600</v>
      </c>
    </row>
    <row r="10" spans="1:17" ht="15.75" customHeight="1">
      <c r="A10" s="1" t="s">
        <v>176</v>
      </c>
      <c r="B10" s="1"/>
      <c r="C10" s="351" t="s">
        <v>192</v>
      </c>
      <c r="D10" s="8">
        <f>ROUND(+'Scenario Costs All Facilities'!$G$10/1000*12,-2)</f>
        <v>9900</v>
      </c>
      <c r="E10" s="8">
        <f>ROUND(+'Scenario Costs All Facilities'!$G$10/1000*12/3,-2)</f>
        <v>3300</v>
      </c>
      <c r="F10" s="8">
        <f>ROUND(+'Scenario Costs All Facilities'!$G$10/1000*12/10,-2)</f>
        <v>1000</v>
      </c>
      <c r="G10" s="8">
        <f>ROUND(+'Scenario Costs All Facilities'!$G$10/1000*12/20,-1)</f>
        <v>490</v>
      </c>
      <c r="H10" s="22"/>
      <c r="I10" s="8">
        <f t="shared" si="0"/>
        <v>9900</v>
      </c>
      <c r="J10" s="8">
        <f t="shared" si="0"/>
        <v>3300</v>
      </c>
      <c r="K10" s="8">
        <f t="shared" si="0"/>
        <v>1000</v>
      </c>
      <c r="L10" s="8">
        <f t="shared" si="0"/>
        <v>490</v>
      </c>
      <c r="M10" s="22"/>
      <c r="N10" s="8">
        <f t="shared" si="1"/>
        <v>9900</v>
      </c>
      <c r="O10" s="8">
        <f t="shared" si="1"/>
        <v>3300</v>
      </c>
      <c r="P10" s="8">
        <f t="shared" si="1"/>
        <v>1000</v>
      </c>
      <c r="Q10" s="8">
        <f t="shared" si="1"/>
        <v>490</v>
      </c>
    </row>
    <row r="11" spans="1:13" ht="15.75" customHeight="1">
      <c r="A11" s="1"/>
      <c r="B11" s="1"/>
      <c r="C11" s="52"/>
      <c r="H11" s="22"/>
      <c r="M11" s="22"/>
    </row>
    <row r="12" spans="1:17" ht="12.75">
      <c r="A12" s="11" t="s">
        <v>5</v>
      </c>
      <c r="B12" s="11"/>
      <c r="C12" s="145" t="s">
        <v>179</v>
      </c>
      <c r="D12" s="540">
        <f>0.00208*D9+3.85589</f>
        <v>44.83189</v>
      </c>
      <c r="E12" s="540">
        <f>0.00208*E9+3.85589</f>
        <v>13.00789</v>
      </c>
      <c r="F12" s="540">
        <f>0.00208*F9+3.85589</f>
        <v>6.35189</v>
      </c>
      <c r="G12" s="540">
        <f>0.00208*G9+3.85589</f>
        <v>5.10389</v>
      </c>
      <c r="H12" s="540"/>
      <c r="I12" s="540">
        <f>0.57304*POWER(I9,0.33201)</f>
        <v>15.27533241350203</v>
      </c>
      <c r="J12" s="540">
        <f>0.57304*POWER(J9,0.33201)</f>
        <v>9.286405877025375</v>
      </c>
      <c r="K12" s="540">
        <f>0.57304*POWER(K9,0.33201)</f>
        <v>6.032591302898336</v>
      </c>
      <c r="L12" s="540">
        <f>0.57304*POWER(L9,0.33201)</f>
        <v>4.792464833793014</v>
      </c>
      <c r="M12" s="540"/>
      <c r="N12" s="540">
        <f>1.11986*POWER(N9,0.22022)</f>
        <v>9.883052099367855</v>
      </c>
      <c r="O12" s="540">
        <f>1.11986*POWER(O9,0.22022)</f>
        <v>7.104358699561609</v>
      </c>
      <c r="P12" s="540">
        <f>1.11986*POWER(P9,0.22022)</f>
        <v>5.336555451307696</v>
      </c>
      <c r="Q12" s="540">
        <f>1.11986*POWER(Q9,0.22022)</f>
        <v>4.581083426546046</v>
      </c>
    </row>
    <row r="13" spans="4:17" ht="30" customHeight="1">
      <c r="D13" s="9"/>
      <c r="E13" s="9"/>
      <c r="F13" s="9"/>
      <c r="G13" s="9"/>
      <c r="H13" s="183"/>
      <c r="I13" s="9"/>
      <c r="J13" s="9"/>
      <c r="K13" s="9"/>
      <c r="L13" s="9"/>
      <c r="M13" s="183"/>
      <c r="N13" s="9"/>
      <c r="O13" s="9"/>
      <c r="P13" s="9"/>
      <c r="Q13" s="9"/>
    </row>
    <row r="14" spans="1:17" ht="12.75">
      <c r="A14" s="1" t="s">
        <v>11</v>
      </c>
      <c r="B14" s="1"/>
      <c r="D14" s="9"/>
      <c r="E14" s="9"/>
      <c r="F14" s="9"/>
      <c r="G14" s="9"/>
      <c r="H14" s="183"/>
      <c r="I14" s="9"/>
      <c r="J14" s="9"/>
      <c r="K14" s="9"/>
      <c r="L14" s="9"/>
      <c r="M14" s="183"/>
      <c r="N14" s="9"/>
      <c r="O14" s="9"/>
      <c r="P14" s="9"/>
      <c r="Q14" s="9"/>
    </row>
    <row r="15" spans="1:17" ht="17.25" customHeight="1">
      <c r="A15" s="1066" t="s">
        <v>254</v>
      </c>
      <c r="B15" s="1067"/>
      <c r="C15" s="350">
        <f>+'Scenario Costs All Facilities'!$Q$45</f>
        <v>0.12</v>
      </c>
      <c r="D15" s="8">
        <f>ROUND(+D12*1000000*$C15/12,-3)</f>
        <v>448000</v>
      </c>
      <c r="E15" s="8">
        <f>ROUND(+E12*1000000*$C15/12,-3)</f>
        <v>130000</v>
      </c>
      <c r="F15" s="8">
        <f>ROUND(+F12*1000000*$C15/12,-3)</f>
        <v>64000</v>
      </c>
      <c r="G15" s="8">
        <f>ROUND(+G12*1000000*$C15/12,-3)</f>
        <v>51000</v>
      </c>
      <c r="H15" s="183"/>
      <c r="I15" s="8">
        <f>ROUND(+I12*1000000*$C15/12,-3)</f>
        <v>153000</v>
      </c>
      <c r="J15" s="8">
        <f>ROUND(+J12*1000000*$C15/12,-3)</f>
        <v>93000</v>
      </c>
      <c r="K15" s="8">
        <f>ROUND(+K12*1000000*$C15/12,-3)</f>
        <v>60000</v>
      </c>
      <c r="L15" s="8">
        <f>ROUND(+L12*1000000*$C15/12,-3)</f>
        <v>48000</v>
      </c>
      <c r="M15" s="183"/>
      <c r="N15" s="8">
        <f>ROUND(+N12*1000000*$C15/12,-3)</f>
        <v>99000</v>
      </c>
      <c r="O15" s="8">
        <f>ROUND(+O12*1000000*$C15/12,-3)</f>
        <v>71000</v>
      </c>
      <c r="P15" s="8">
        <f>ROUND(+P12*1000000*$C15/12,-3)</f>
        <v>53000</v>
      </c>
      <c r="Q15" s="8">
        <f>ROUND(+Q12*1000000*$C15/12,-3)</f>
        <v>46000</v>
      </c>
    </row>
    <row r="16" spans="1:17" ht="27" customHeight="1">
      <c r="A16" s="278" t="s">
        <v>231</v>
      </c>
      <c r="B16" s="352">
        <v>12</v>
      </c>
      <c r="C16" s="194">
        <f>1/B16</f>
        <v>0.08333333333333333</v>
      </c>
      <c r="D16" s="8">
        <f>ROUND(+D12*1000000*$C16/12,-3)</f>
        <v>311000</v>
      </c>
      <c r="E16" s="8">
        <f>ROUND(+E12*1000000*$C16/12,-3)</f>
        <v>90000</v>
      </c>
      <c r="F16" s="8">
        <f>ROUND(+F12*1000000*$C16/12,-3)</f>
        <v>44000</v>
      </c>
      <c r="G16" s="8">
        <f>ROUND(+G12*1000000*$C16/12,-3)</f>
        <v>35000</v>
      </c>
      <c r="H16" s="183"/>
      <c r="I16" s="8">
        <f>ROUND(+I12*1000000*$C16/12,-3)</f>
        <v>106000</v>
      </c>
      <c r="J16" s="8">
        <f>ROUND(+J12*1000000*$C16/12,-3)</f>
        <v>64000</v>
      </c>
      <c r="K16" s="8">
        <f>ROUND(+K12*1000000*$C16/12,-3)</f>
        <v>42000</v>
      </c>
      <c r="L16" s="8">
        <f>ROUND(+L12*1000000*$C16/12,-3)</f>
        <v>33000</v>
      </c>
      <c r="M16" s="183"/>
      <c r="N16" s="8">
        <f>ROUND(+N12*1000000*$C16/12,-3)</f>
        <v>69000</v>
      </c>
      <c r="O16" s="8">
        <f>ROUND(+O12*1000000*$C16/12,-3)</f>
        <v>49000</v>
      </c>
      <c r="P16" s="8">
        <f>ROUND(+P12*1000000*$C16/12,-3)</f>
        <v>37000</v>
      </c>
      <c r="Q16" s="8">
        <f>ROUND(+Q12*1000000*$C16/12,-3)</f>
        <v>32000</v>
      </c>
    </row>
    <row r="17" spans="1:17" ht="15" customHeight="1">
      <c r="A17" s="23" t="s">
        <v>178</v>
      </c>
      <c r="B17" s="25"/>
      <c r="C17" s="145" t="s">
        <v>179</v>
      </c>
      <c r="D17" s="541">
        <f>0.00035*D10+0.63807</f>
        <v>4.10307</v>
      </c>
      <c r="E17" s="541">
        <f>0.00035*E10+0.63807</f>
        <v>1.7930700000000002</v>
      </c>
      <c r="F17" s="541">
        <f>0.00035*F10+0.63807</f>
        <v>0.98807</v>
      </c>
      <c r="G17" s="541">
        <f>0.00035*G10+0.63807</f>
        <v>0.80957</v>
      </c>
      <c r="H17" s="541"/>
      <c r="I17" s="541">
        <f>0.00031*I10+0.68175</f>
        <v>3.75075</v>
      </c>
      <c r="J17" s="541">
        <f>0.00031*J10+0.68175</f>
        <v>1.7047499999999998</v>
      </c>
      <c r="K17" s="541">
        <f>0.00031*K10+0.68175</f>
        <v>0.9917499999999999</v>
      </c>
      <c r="L17" s="541">
        <f>0.00031*L10+0.68175</f>
        <v>0.83365</v>
      </c>
      <c r="M17" s="541"/>
      <c r="N17" s="541">
        <f>0.00046*N10+0.80806</f>
        <v>5.3620600000000005</v>
      </c>
      <c r="O17" s="541">
        <f>0.00046*O10+0.80806</f>
        <v>2.32606</v>
      </c>
      <c r="P17" s="541">
        <f>0.00046*P10+0.80806</f>
        <v>1.26806</v>
      </c>
      <c r="Q17" s="541">
        <f>0.00046*Q10+0.80806</f>
        <v>1.03346</v>
      </c>
    </row>
    <row r="18" spans="1:17" ht="13.5" customHeight="1">
      <c r="A18" s="23" t="s">
        <v>177</v>
      </c>
      <c r="B18" s="25"/>
      <c r="C18" s="25"/>
      <c r="D18" s="8">
        <f>ROUND(+D17*1000000/12,-3)</f>
        <v>342000</v>
      </c>
      <c r="E18" s="8">
        <f>ROUND(+E17*1000000/12,-3)</f>
        <v>149000</v>
      </c>
      <c r="F18" s="8">
        <f>ROUND(+F17*1000000/12,-3)</f>
        <v>82000</v>
      </c>
      <c r="G18" s="8">
        <f>ROUND(+G17*1000000/12,-3)</f>
        <v>67000</v>
      </c>
      <c r="H18" s="183"/>
      <c r="I18" s="8">
        <f>ROUND(+I17*1000000/12,-3)</f>
        <v>313000</v>
      </c>
      <c r="J18" s="8">
        <f>ROUND(+J17*1000000/12,-3)</f>
        <v>142000</v>
      </c>
      <c r="K18" s="8">
        <f>ROUND(+K17*1000000/12,-3)</f>
        <v>83000</v>
      </c>
      <c r="L18" s="8">
        <f>ROUND(+L17*1000000/12,-3)</f>
        <v>69000</v>
      </c>
      <c r="M18" s="183"/>
      <c r="N18" s="8">
        <f>ROUND(+N17*1000000/12,-3)</f>
        <v>447000</v>
      </c>
      <c r="O18" s="8">
        <f>ROUND(+O17*1000000/12,-3)</f>
        <v>194000</v>
      </c>
      <c r="P18" s="8">
        <f>ROUND(+P17*1000000/12,-3)</f>
        <v>106000</v>
      </c>
      <c r="Q18" s="8">
        <f>ROUND(+Q17*1000000/12,-3)</f>
        <v>86000</v>
      </c>
    </row>
    <row r="19" spans="1:17" ht="17.25" customHeight="1">
      <c r="A19" s="11" t="s">
        <v>169</v>
      </c>
      <c r="B19" s="182"/>
      <c r="C19" s="23"/>
      <c r="D19" s="8">
        <f>+D15+D16+D18</f>
        <v>1101000</v>
      </c>
      <c r="E19" s="8">
        <f>+E15+E16+E18</f>
        <v>369000</v>
      </c>
      <c r="F19" s="8">
        <f>+F15+F16+F18</f>
        <v>190000</v>
      </c>
      <c r="G19" s="8">
        <f>+G15+G16+G18</f>
        <v>153000</v>
      </c>
      <c r="H19" s="183"/>
      <c r="I19" s="8">
        <f>+I15+I16+I18</f>
        <v>572000</v>
      </c>
      <c r="J19" s="8">
        <f>+J15+J16+J18</f>
        <v>299000</v>
      </c>
      <c r="K19" s="8">
        <f>+K15+K16+K18</f>
        <v>185000</v>
      </c>
      <c r="L19" s="8">
        <f>+L15+L16+L18</f>
        <v>150000</v>
      </c>
      <c r="M19" s="183"/>
      <c r="N19" s="8">
        <f>+N15+N16+N18</f>
        <v>615000</v>
      </c>
      <c r="O19" s="8">
        <f>+O15+O16+O18</f>
        <v>314000</v>
      </c>
      <c r="P19" s="8">
        <f>+P15+P16+P18</f>
        <v>196000</v>
      </c>
      <c r="Q19" s="8">
        <f>+Q15+Q16+Q18</f>
        <v>164000</v>
      </c>
    </row>
    <row r="20" spans="1:17" ht="27.75" customHeight="1">
      <c r="A20" s="48" t="s">
        <v>183</v>
      </c>
      <c r="B20" s="319">
        <v>25</v>
      </c>
      <c r="C20" s="353">
        <f>+B20/100</f>
        <v>0.25</v>
      </c>
      <c r="D20" s="8">
        <f>ROUND(+D19*$C20,-3)</f>
        <v>275000</v>
      </c>
      <c r="E20" s="8">
        <f>ROUND(+E19*$C20,-3)</f>
        <v>92000</v>
      </c>
      <c r="F20" s="8">
        <f>ROUND(+F19*$C20,-3)</f>
        <v>48000</v>
      </c>
      <c r="G20" s="8">
        <f>ROUND(+G19*$C20,-3)</f>
        <v>38000</v>
      </c>
      <c r="H20" s="183"/>
      <c r="I20" s="8">
        <f>ROUND(+I19*$C20,-3)</f>
        <v>143000</v>
      </c>
      <c r="J20" s="8">
        <f>ROUND(+J19*$C20,-3)</f>
        <v>75000</v>
      </c>
      <c r="K20" s="8">
        <f>ROUND(+K19*$C20,-3)</f>
        <v>46000</v>
      </c>
      <c r="L20" s="8">
        <f>ROUND(+L19*$C20,-3)</f>
        <v>38000</v>
      </c>
      <c r="M20" s="183"/>
      <c r="N20" s="8">
        <f>ROUND(+N19*$C20,-3)</f>
        <v>154000</v>
      </c>
      <c r="O20" s="8">
        <f>ROUND(+O19*$C20,-3)</f>
        <v>79000</v>
      </c>
      <c r="P20" s="8">
        <f>ROUND(+P19*$C20,-3)</f>
        <v>49000</v>
      </c>
      <c r="Q20" s="8">
        <f>ROUND(+Q19*$C20,-3)</f>
        <v>41000</v>
      </c>
    </row>
    <row r="21" spans="1:17" ht="15.75">
      <c r="A21" s="26" t="s">
        <v>56</v>
      </c>
      <c r="B21" s="192"/>
      <c r="C21" s="16"/>
      <c r="D21" s="8">
        <f>SUM(D19:D20)</f>
        <v>1376000</v>
      </c>
      <c r="E21" s="8">
        <f>SUM(E19:E20)</f>
        <v>461000</v>
      </c>
      <c r="F21" s="8">
        <f>SUM(F19:F20)</f>
        <v>238000</v>
      </c>
      <c r="G21" s="8">
        <f>SUM(G19:G20)</f>
        <v>191000</v>
      </c>
      <c r="H21" s="183"/>
      <c r="I21" s="8">
        <f>SUM(I19:I20)</f>
        <v>715000</v>
      </c>
      <c r="J21" s="8">
        <f>SUM(J19:J20)</f>
        <v>374000</v>
      </c>
      <c r="K21" s="8">
        <f>SUM(K19:K20)</f>
        <v>231000</v>
      </c>
      <c r="L21" s="8">
        <f>SUM(L19:L20)</f>
        <v>188000</v>
      </c>
      <c r="M21" s="183"/>
      <c r="N21" s="8">
        <f>SUM(N19:N20)</f>
        <v>769000</v>
      </c>
      <c r="O21" s="8">
        <f>SUM(O19:O20)</f>
        <v>393000</v>
      </c>
      <c r="P21" s="8">
        <f>SUM(P19:P20)</f>
        <v>245000</v>
      </c>
      <c r="Q21" s="8">
        <f>SUM(Q19:Q20)</f>
        <v>205000</v>
      </c>
    </row>
    <row r="22" spans="1:17" ht="16.5" customHeight="1">
      <c r="A22" s="191" t="s">
        <v>184</v>
      </c>
      <c r="B22" s="5"/>
      <c r="C22" s="5"/>
      <c r="D22" s="131">
        <f>ROUNDUP(+D21*12/(D10*1000),2)</f>
        <v>1.67</v>
      </c>
      <c r="E22" s="131">
        <f>ROUNDUP(+E21*12/(E10*1000),2)</f>
        <v>1.68</v>
      </c>
      <c r="F22" s="131">
        <f>ROUNDUP(+F21*12/(F10*1000),2)</f>
        <v>2.86</v>
      </c>
      <c r="G22" s="131">
        <f>ROUNDUP(+G21*12/(G10*1000),2)</f>
        <v>4.68</v>
      </c>
      <c r="I22" s="131">
        <f>ROUNDUP(+I21*12/(I10*1000),2)</f>
        <v>0.87</v>
      </c>
      <c r="J22" s="131">
        <f>ROUNDUP(+J21*12/(J10*1000),2)</f>
        <v>1.36</v>
      </c>
      <c r="K22" s="131">
        <f>ROUNDUP(+K21*12/(K10*1000),2)</f>
        <v>2.78</v>
      </c>
      <c r="L22" s="131">
        <f>ROUNDUP(+L21*12/(L10*1000),2)</f>
        <v>4.609999999999999</v>
      </c>
      <c r="N22" s="131">
        <f>ROUNDUP(+N21*12/(N10*1000),2)</f>
        <v>0.9400000000000001</v>
      </c>
      <c r="O22" s="131">
        <f>ROUNDUP(+O21*12/(O10*1000),2)</f>
        <v>1.43</v>
      </c>
      <c r="P22" s="131">
        <f>ROUNDUP(+P21*12/(P10*1000),2)</f>
        <v>2.94</v>
      </c>
      <c r="Q22" s="131">
        <f>ROUNDUP(+Q21*12/(Q10*1000),2)</f>
        <v>5.029999999999999</v>
      </c>
    </row>
    <row r="26" spans="1:17" ht="16.5" customHeight="1">
      <c r="A26" s="11" t="s">
        <v>176</v>
      </c>
      <c r="B26" s="5"/>
      <c r="C26" s="5"/>
      <c r="D26" s="36">
        <f>+D10</f>
        <v>9900</v>
      </c>
      <c r="E26" s="36">
        <f>+E10</f>
        <v>3300</v>
      </c>
      <c r="F26" s="36">
        <f>+F10</f>
        <v>1000</v>
      </c>
      <c r="G26" s="36">
        <f>+G10</f>
        <v>490</v>
      </c>
      <c r="K26" s="11" t="s">
        <v>175</v>
      </c>
      <c r="L26" s="992"/>
      <c r="M26" s="993"/>
      <c r="N26" s="36">
        <f>+D9</f>
        <v>19700</v>
      </c>
      <c r="O26" s="36">
        <f>+E9</f>
        <v>4400</v>
      </c>
      <c r="P26" s="36">
        <f>+F9</f>
        <v>1200</v>
      </c>
      <c r="Q26" s="36">
        <f>+G9</f>
        <v>600</v>
      </c>
    </row>
    <row r="27" spans="1:17" ht="12.75">
      <c r="A27" s="5" t="s">
        <v>157</v>
      </c>
      <c r="B27" s="5"/>
      <c r="C27" s="196" t="s">
        <v>187</v>
      </c>
      <c r="D27" s="186">
        <f>+D17</f>
        <v>4.10307</v>
      </c>
      <c r="E27" s="186">
        <f>+E17</f>
        <v>1.7930700000000002</v>
      </c>
      <c r="F27" s="186">
        <f>+F17</f>
        <v>0.98807</v>
      </c>
      <c r="G27" s="186">
        <f>+G17</f>
        <v>0.80957</v>
      </c>
      <c r="K27" s="5" t="s">
        <v>157</v>
      </c>
      <c r="L27" s="1068" t="s">
        <v>5</v>
      </c>
      <c r="M27" s="1069"/>
      <c r="N27" s="185">
        <f>+D12</f>
        <v>44.83189</v>
      </c>
      <c r="O27" s="185">
        <f>+E12</f>
        <v>13.00789</v>
      </c>
      <c r="P27" s="185">
        <f>+F12</f>
        <v>6.35189</v>
      </c>
      <c r="Q27" s="185">
        <f>+G12</f>
        <v>5.10389</v>
      </c>
    </row>
    <row r="28" spans="1:17" ht="12.75">
      <c r="A28" s="5" t="s">
        <v>156</v>
      </c>
      <c r="B28" s="5"/>
      <c r="C28" s="196" t="s">
        <v>187</v>
      </c>
      <c r="D28" s="186">
        <f>+I17</f>
        <v>3.75075</v>
      </c>
      <c r="E28" s="186">
        <f>+J17</f>
        <v>1.7047499999999998</v>
      </c>
      <c r="F28" s="186">
        <f>+K17</f>
        <v>0.9917499999999999</v>
      </c>
      <c r="G28" s="186">
        <f>+L17</f>
        <v>0.83365</v>
      </c>
      <c r="K28" s="5" t="s">
        <v>156</v>
      </c>
      <c r="L28" s="1068" t="s">
        <v>5</v>
      </c>
      <c r="M28" s="1069"/>
      <c r="N28" s="185">
        <f>+I12</f>
        <v>15.27533241350203</v>
      </c>
      <c r="O28" s="185">
        <f>+J12</f>
        <v>9.286405877025375</v>
      </c>
      <c r="P28" s="185">
        <f>+K12</f>
        <v>6.032591302898336</v>
      </c>
      <c r="Q28" s="185">
        <f>+L12</f>
        <v>4.792464833793014</v>
      </c>
    </row>
    <row r="29" spans="1:17" ht="12.75">
      <c r="A29" s="5" t="s">
        <v>163</v>
      </c>
      <c r="B29" s="5"/>
      <c r="C29" s="196" t="s">
        <v>187</v>
      </c>
      <c r="D29" s="186">
        <f>+N17</f>
        <v>5.3620600000000005</v>
      </c>
      <c r="E29" s="186">
        <f>+O17</f>
        <v>2.32606</v>
      </c>
      <c r="F29" s="186">
        <f>+P17</f>
        <v>1.26806</v>
      </c>
      <c r="G29" s="186">
        <f>+Q17</f>
        <v>1.03346</v>
      </c>
      <c r="K29" s="5" t="s">
        <v>163</v>
      </c>
      <c r="L29" s="1068" t="s">
        <v>5</v>
      </c>
      <c r="M29" s="1069"/>
      <c r="N29" s="185">
        <f>+N12</f>
        <v>9.883052099367855</v>
      </c>
      <c r="O29" s="185">
        <f>+O12</f>
        <v>7.104358699561609</v>
      </c>
      <c r="P29" s="185">
        <f>+P12</f>
        <v>5.336555451307696</v>
      </c>
      <c r="Q29" s="185">
        <f>+Q12</f>
        <v>4.581083426546046</v>
      </c>
    </row>
    <row r="30" spans="1:7" ht="12.75">
      <c r="A30" s="5" t="s">
        <v>157</v>
      </c>
      <c r="B30" s="5"/>
      <c r="C30" s="195" t="s">
        <v>184</v>
      </c>
      <c r="D30" s="131">
        <f>+D22</f>
        <v>1.67</v>
      </c>
      <c r="E30" s="131">
        <f>+E22</f>
        <v>1.68</v>
      </c>
      <c r="F30" s="131">
        <f>+F22</f>
        <v>2.86</v>
      </c>
      <c r="G30" s="131">
        <f>+G22</f>
        <v>4.68</v>
      </c>
    </row>
    <row r="31" spans="1:7" ht="12.75">
      <c r="A31" s="5" t="s">
        <v>156</v>
      </c>
      <c r="B31" s="5"/>
      <c r="C31" s="195" t="s">
        <v>184</v>
      </c>
      <c r="D31" s="131">
        <f>+I22</f>
        <v>0.87</v>
      </c>
      <c r="E31" s="131">
        <f>+J22</f>
        <v>1.36</v>
      </c>
      <c r="F31" s="131">
        <f>+K22</f>
        <v>2.78</v>
      </c>
      <c r="G31" s="131">
        <f>+L22</f>
        <v>4.609999999999999</v>
      </c>
    </row>
    <row r="32" spans="1:7" ht="12.75">
      <c r="A32" s="5" t="s">
        <v>163</v>
      </c>
      <c r="B32" s="5"/>
      <c r="C32" s="195" t="s">
        <v>184</v>
      </c>
      <c r="D32" s="131">
        <f>+N22</f>
        <v>0.9400000000000001</v>
      </c>
      <c r="E32" s="131">
        <f>+O22</f>
        <v>1.43</v>
      </c>
      <c r="F32" s="131">
        <f>+P22</f>
        <v>2.94</v>
      </c>
      <c r="G32" s="131">
        <f>+Q22</f>
        <v>5.029999999999999</v>
      </c>
    </row>
    <row r="58" ht="20.25">
      <c r="A58" s="193" t="s">
        <v>186</v>
      </c>
    </row>
    <row r="61" spans="4:17" ht="15.75">
      <c r="D61" s="1070" t="s">
        <v>157</v>
      </c>
      <c r="E61" s="1071"/>
      <c r="F61" s="1071"/>
      <c r="G61" s="1071"/>
      <c r="H61" s="22"/>
      <c r="I61" s="1070" t="s">
        <v>156</v>
      </c>
      <c r="J61" s="1071"/>
      <c r="K61" s="1071"/>
      <c r="L61" s="1071"/>
      <c r="M61" s="22"/>
      <c r="N61" s="1070" t="s">
        <v>163</v>
      </c>
      <c r="O61" s="1070"/>
      <c r="P61" s="1071"/>
      <c r="Q61" s="1071"/>
    </row>
    <row r="62" spans="1:17" ht="15.75">
      <c r="A62" s="1" t="s">
        <v>258</v>
      </c>
      <c r="D62" s="354">
        <v>1</v>
      </c>
      <c r="E62" s="355">
        <v>3</v>
      </c>
      <c r="F62" s="355">
        <v>10</v>
      </c>
      <c r="G62" s="355">
        <v>20</v>
      </c>
      <c r="H62" s="22"/>
      <c r="I62" s="354">
        <v>1</v>
      </c>
      <c r="J62" s="355">
        <v>3</v>
      </c>
      <c r="K62" s="355">
        <v>10</v>
      </c>
      <c r="L62" s="355">
        <v>20</v>
      </c>
      <c r="M62" s="22"/>
      <c r="N62" s="354">
        <v>1</v>
      </c>
      <c r="O62" s="355">
        <v>3</v>
      </c>
      <c r="P62" s="355">
        <v>10</v>
      </c>
      <c r="Q62" s="355">
        <v>20</v>
      </c>
    </row>
    <row r="63" spans="1:17" ht="16.5" customHeight="1">
      <c r="A63" s="1" t="s">
        <v>175</v>
      </c>
      <c r="B63" s="1"/>
      <c r="C63" s="351" t="s">
        <v>192</v>
      </c>
      <c r="D63" s="8">
        <f>ROUND(+'Scenario Costs Provincial'!$G$10/1000*12*2,-2)</f>
        <v>9600</v>
      </c>
      <c r="E63" s="8">
        <f>ROUND(+'Scenario Costs Provincial'!$G$10/1000*12/3*1.33,-2)</f>
        <v>2100</v>
      </c>
      <c r="F63" s="8">
        <f>ROUND(+'Scenario Costs Provincial'!$G$10/1000*12/10*1.25,-2)</f>
        <v>600</v>
      </c>
      <c r="G63" s="8">
        <f>ROUND(+'Scenario Costs Provincial'!$G$10/1000*12/20*1.25,-1)</f>
        <v>300</v>
      </c>
      <c r="H63" s="22"/>
      <c r="I63" s="8">
        <f>+D63</f>
        <v>9600</v>
      </c>
      <c r="J63" s="8">
        <f aca="true" t="shared" si="2" ref="J63:L64">+E63</f>
        <v>2100</v>
      </c>
      <c r="K63" s="8">
        <f t="shared" si="2"/>
        <v>600</v>
      </c>
      <c r="L63" s="8">
        <f t="shared" si="2"/>
        <v>300</v>
      </c>
      <c r="M63" s="22"/>
      <c r="N63" s="8">
        <f>+D63</f>
        <v>9600</v>
      </c>
      <c r="O63" s="8">
        <f aca="true" t="shared" si="3" ref="O63:Q64">+E63</f>
        <v>2100</v>
      </c>
      <c r="P63" s="8">
        <f t="shared" si="3"/>
        <v>600</v>
      </c>
      <c r="Q63" s="8">
        <f t="shared" si="3"/>
        <v>300</v>
      </c>
    </row>
    <row r="64" spans="1:17" ht="16.5" customHeight="1">
      <c r="A64" s="1" t="s">
        <v>176</v>
      </c>
      <c r="B64" s="1"/>
      <c r="C64" s="351" t="s">
        <v>192</v>
      </c>
      <c r="D64" s="8">
        <f>ROUND(+'Scenario Costs Provincial'!$G$10/1000*12,-2)</f>
        <v>4800</v>
      </c>
      <c r="E64" s="8">
        <f>ROUND(+'Scenario Costs Provincial'!$G$10/1000*12/3,-2)</f>
        <v>1600</v>
      </c>
      <c r="F64" s="8">
        <f>ROUND(+'Scenario Costs Provincial'!$G$10/1000*12/10,-1)</f>
        <v>480</v>
      </c>
      <c r="G64" s="8">
        <f>ROUND(+'Scenario Costs Provincial'!$G$10/1000*12/20,-1)</f>
        <v>240</v>
      </c>
      <c r="H64" s="22"/>
      <c r="I64" s="8">
        <f>+D64</f>
        <v>4800</v>
      </c>
      <c r="J64" s="8">
        <f t="shared" si="2"/>
        <v>1600</v>
      </c>
      <c r="K64" s="8">
        <f t="shared" si="2"/>
        <v>480</v>
      </c>
      <c r="L64" s="8">
        <f t="shared" si="2"/>
        <v>240</v>
      </c>
      <c r="M64" s="22"/>
      <c r="N64" s="8">
        <f>+D64</f>
        <v>4800</v>
      </c>
      <c r="O64" s="8">
        <f t="shared" si="3"/>
        <v>1600</v>
      </c>
      <c r="P64" s="8">
        <f t="shared" si="3"/>
        <v>480</v>
      </c>
      <c r="Q64" s="8">
        <f t="shared" si="3"/>
        <v>240</v>
      </c>
    </row>
    <row r="65" spans="1:13" ht="16.5" customHeight="1">
      <c r="A65" s="1"/>
      <c r="B65" s="1"/>
      <c r="C65" s="52"/>
      <c r="H65" s="22"/>
      <c r="M65" s="22"/>
    </row>
    <row r="66" spans="1:17" ht="16.5" customHeight="1">
      <c r="A66" s="11" t="s">
        <v>5</v>
      </c>
      <c r="B66" s="11"/>
      <c r="C66" s="145" t="s">
        <v>179</v>
      </c>
      <c r="D66" s="540">
        <f>0.00208*D63+3.85589</f>
        <v>23.82389</v>
      </c>
      <c r="E66" s="540">
        <f>0.00208*E63+3.85589</f>
        <v>8.223889999999999</v>
      </c>
      <c r="F66" s="540">
        <f>0.00208*F63+3.85589</f>
        <v>5.10389</v>
      </c>
      <c r="G66" s="540">
        <f>0.00208*G63+3.85589</f>
        <v>4.47989</v>
      </c>
      <c r="H66" s="542"/>
      <c r="I66" s="540">
        <f>0.57304*POWER(I63,0.33201)</f>
        <v>12.032027344143389</v>
      </c>
      <c r="J66" s="540">
        <f>0.57304*POWER(J63,0.33201)</f>
        <v>7.26431998641855</v>
      </c>
      <c r="K66" s="540">
        <f>0.57304*POWER(K63,0.33201)</f>
        <v>4.792464833793014</v>
      </c>
      <c r="L66" s="540">
        <f>0.57304*POWER(L63,0.33201)</f>
        <v>3.8072725351223373</v>
      </c>
      <c r="M66" s="542"/>
      <c r="N66" s="540">
        <f>1.11986*POWER(N63,0.22022)</f>
        <v>8.436056959732493</v>
      </c>
      <c r="O66" s="540">
        <f>1.11986*POWER(O63,0.22022)</f>
        <v>6.036467483256711</v>
      </c>
      <c r="P66" s="540">
        <f>1.11986*POWER(P63,0.22022)</f>
        <v>4.581083426546046</v>
      </c>
      <c r="Q66" s="540">
        <f>1.11986*POWER(Q63,0.22022)</f>
        <v>3.9325601602869646</v>
      </c>
    </row>
    <row r="67" spans="4:17" ht="12.75">
      <c r="D67" s="9"/>
      <c r="E67" s="9"/>
      <c r="F67" s="9"/>
      <c r="G67" s="9"/>
      <c r="H67" s="183"/>
      <c r="I67" s="9"/>
      <c r="J67" s="9"/>
      <c r="K67" s="9"/>
      <c r="L67" s="9"/>
      <c r="M67" s="183"/>
      <c r="N67" s="9"/>
      <c r="O67" s="9"/>
      <c r="P67" s="9"/>
      <c r="Q67" s="9"/>
    </row>
    <row r="68" spans="1:17" ht="15.75" customHeight="1">
      <c r="A68" s="1" t="s">
        <v>11</v>
      </c>
      <c r="B68" s="1"/>
      <c r="D68" s="9"/>
      <c r="E68" s="9"/>
      <c r="F68" s="9"/>
      <c r="G68" s="9"/>
      <c r="H68" s="183"/>
      <c r="I68" s="9"/>
      <c r="J68" s="9"/>
      <c r="K68" s="9"/>
      <c r="L68" s="9"/>
      <c r="M68" s="183"/>
      <c r="N68" s="9"/>
      <c r="O68" s="9"/>
      <c r="P68" s="9"/>
      <c r="Q68" s="9"/>
    </row>
    <row r="69" spans="1:17" ht="12.75">
      <c r="A69" s="5" t="s">
        <v>6</v>
      </c>
      <c r="B69" s="5"/>
      <c r="C69" s="184">
        <f>+C15</f>
        <v>0.12</v>
      </c>
      <c r="D69" s="8">
        <f>ROUND(+D66*1000000*$C69/12,-3)</f>
        <v>238000</v>
      </c>
      <c r="E69" s="8">
        <f>ROUND(+E66*1000000*$C69/12,-3)</f>
        <v>82000</v>
      </c>
      <c r="F69" s="8">
        <f>ROUND(+F66*1000000*$C69/12,-3)</f>
        <v>51000</v>
      </c>
      <c r="G69" s="8">
        <f>ROUND(+G66*1000000*$C69/12,-3)</f>
        <v>45000</v>
      </c>
      <c r="H69" s="183"/>
      <c r="I69" s="8">
        <f>ROUND(+I66*1000000*$C69/12,-3)</f>
        <v>120000</v>
      </c>
      <c r="J69" s="8">
        <f>ROUND(+J66*1000000*$C69/12,-3)</f>
        <v>73000</v>
      </c>
      <c r="K69" s="8">
        <f>ROUND(+K66*1000000*$C69/12,-3)</f>
        <v>48000</v>
      </c>
      <c r="L69" s="8">
        <f>ROUND(+L66*1000000*$C69/12,-3)</f>
        <v>38000</v>
      </c>
      <c r="M69" s="183"/>
      <c r="N69" s="8">
        <f>ROUND(+N66*1000000*$C69/12,-3)</f>
        <v>84000</v>
      </c>
      <c r="O69" s="8">
        <f>ROUND(+O66*1000000*$C69/12,-3)</f>
        <v>60000</v>
      </c>
      <c r="P69" s="8">
        <f>ROUND(+P66*1000000*$C69/12,-3)</f>
        <v>46000</v>
      </c>
      <c r="Q69" s="8">
        <f>ROUND(+Q66*1000000*$C69/12,-3)</f>
        <v>39000</v>
      </c>
    </row>
    <row r="70" spans="1:17" ht="12.75">
      <c r="A70" s="5" t="s">
        <v>7</v>
      </c>
      <c r="B70" s="5" t="s">
        <v>232</v>
      </c>
      <c r="C70" s="194">
        <f>+C16</f>
        <v>0.08333333333333333</v>
      </c>
      <c r="D70" s="8">
        <f>ROUND(+D66*1000000*$C70/12,-3)</f>
        <v>165000</v>
      </c>
      <c r="E70" s="8">
        <f>ROUND(+E66*1000000*$C70/12,-3)</f>
        <v>57000</v>
      </c>
      <c r="F70" s="8">
        <f>ROUND(+F66*1000000*$C70/12,-3)</f>
        <v>35000</v>
      </c>
      <c r="G70" s="8">
        <f>ROUND(+G66*1000000*$C70/12,-3)</f>
        <v>31000</v>
      </c>
      <c r="H70" s="183"/>
      <c r="I70" s="8">
        <f>ROUND(+I66*1000000*$C70/12,-3)</f>
        <v>84000</v>
      </c>
      <c r="J70" s="8">
        <f>ROUND(+J66*1000000*$C70/12,-3)</f>
        <v>50000</v>
      </c>
      <c r="K70" s="8">
        <f>ROUND(+K66*1000000*$C70/12,-3)</f>
        <v>33000</v>
      </c>
      <c r="L70" s="8">
        <f>ROUND(+L66*1000000*$C70/12,-3)</f>
        <v>26000</v>
      </c>
      <c r="M70" s="183"/>
      <c r="N70" s="8">
        <f>ROUND(+N66*1000000*$C70/12,-3)</f>
        <v>59000</v>
      </c>
      <c r="O70" s="8">
        <f>ROUND(+O66*1000000*$C70/12,-3)</f>
        <v>42000</v>
      </c>
      <c r="P70" s="8">
        <f>ROUND(+P66*1000000*$C70/12,-3)</f>
        <v>32000</v>
      </c>
      <c r="Q70" s="8">
        <f>ROUND(+Q66*1000000*$C70/12,-3)</f>
        <v>27000</v>
      </c>
    </row>
    <row r="71" spans="1:17" ht="15" customHeight="1">
      <c r="A71" s="23" t="s">
        <v>178</v>
      </c>
      <c r="B71" s="25"/>
      <c r="C71" s="145" t="s">
        <v>179</v>
      </c>
      <c r="D71" s="541">
        <f>0.00035*D64+0.63807</f>
        <v>2.31807</v>
      </c>
      <c r="E71" s="541">
        <f>0.00035*E64+0.63807</f>
        <v>1.19807</v>
      </c>
      <c r="F71" s="541">
        <f>0.00035*F64+0.63807</f>
        <v>0.8060700000000001</v>
      </c>
      <c r="G71" s="541">
        <f>0.00035*G64+0.63807</f>
        <v>0.72207</v>
      </c>
      <c r="H71" s="671"/>
      <c r="I71" s="541">
        <f>0.00031*I64+0.68175</f>
        <v>2.16975</v>
      </c>
      <c r="J71" s="541">
        <f>0.00031*J64+0.68175</f>
        <v>1.17775</v>
      </c>
      <c r="K71" s="541">
        <f>0.00031*K64+0.68175</f>
        <v>0.8305499999999999</v>
      </c>
      <c r="L71" s="541">
        <f>0.00031*L64+0.68175</f>
        <v>0.75615</v>
      </c>
      <c r="M71" s="671"/>
      <c r="N71" s="541">
        <f>0.00046*N64+0.80806</f>
        <v>3.0160600000000004</v>
      </c>
      <c r="O71" s="541">
        <f>0.00046*O64+0.80806</f>
        <v>1.54406</v>
      </c>
      <c r="P71" s="541">
        <f>0.00046*P64+0.80806</f>
        <v>1.0288599999999999</v>
      </c>
      <c r="Q71" s="541">
        <f>0.00046*Q64+0.80806</f>
        <v>0.91846</v>
      </c>
    </row>
    <row r="72" spans="1:17" ht="12.75">
      <c r="A72" s="23" t="s">
        <v>177</v>
      </c>
      <c r="B72" s="25"/>
      <c r="C72" s="5"/>
      <c r="D72" s="8">
        <f>ROUND(+D71*1000000/12,-3)</f>
        <v>193000</v>
      </c>
      <c r="E72" s="8">
        <f>ROUND(+E71*1000000/12,-3)</f>
        <v>100000</v>
      </c>
      <c r="F72" s="8">
        <f>ROUND(+F71*1000000/12,-3)</f>
        <v>67000</v>
      </c>
      <c r="G72" s="8">
        <f>ROUND(+G71*1000000/12,-3)</f>
        <v>60000</v>
      </c>
      <c r="H72" s="183"/>
      <c r="I72" s="8">
        <f>ROUND(+I71*1000000/12,-3)</f>
        <v>181000</v>
      </c>
      <c r="J72" s="8">
        <f>ROUND(+J71*1000000/12,-3)</f>
        <v>98000</v>
      </c>
      <c r="K72" s="8">
        <f>ROUND(+K71*1000000/12,-3)</f>
        <v>69000</v>
      </c>
      <c r="L72" s="8">
        <f>ROUND(+L71*1000000/12,-3)</f>
        <v>63000</v>
      </c>
      <c r="M72" s="183"/>
      <c r="N72" s="8">
        <f>ROUND(+N71*1000000/12,-3)</f>
        <v>251000</v>
      </c>
      <c r="O72" s="8">
        <f>ROUND(+O71*1000000/12,-3)</f>
        <v>129000</v>
      </c>
      <c r="P72" s="8">
        <f>ROUND(+P71*1000000/12,-3)</f>
        <v>86000</v>
      </c>
      <c r="Q72" s="8">
        <f>ROUND(+Q71*1000000/12,-3)</f>
        <v>77000</v>
      </c>
    </row>
    <row r="73" spans="1:17" ht="15.75">
      <c r="A73" s="11" t="s">
        <v>169</v>
      </c>
      <c r="B73" s="182"/>
      <c r="C73" s="23"/>
      <c r="D73" s="8">
        <f>+D69+D70+D72</f>
        <v>596000</v>
      </c>
      <c r="E73" s="8">
        <f>+E69+E70+E72</f>
        <v>239000</v>
      </c>
      <c r="F73" s="8">
        <f>+F69+F70+F72</f>
        <v>153000</v>
      </c>
      <c r="G73" s="8">
        <f>+G69+G70+G72</f>
        <v>136000</v>
      </c>
      <c r="H73" s="183"/>
      <c r="I73" s="8">
        <f>+I69+I70+I72</f>
        <v>385000</v>
      </c>
      <c r="J73" s="8">
        <f>+J69+J70+J72</f>
        <v>221000</v>
      </c>
      <c r="K73" s="8">
        <f>+K69+K70+K72</f>
        <v>150000</v>
      </c>
      <c r="L73" s="8">
        <f>+L69+L70+L72</f>
        <v>127000</v>
      </c>
      <c r="M73" s="183"/>
      <c r="N73" s="8">
        <f>+N69+N70+N72</f>
        <v>394000</v>
      </c>
      <c r="O73" s="8">
        <f>+O69+O70+O72</f>
        <v>231000</v>
      </c>
      <c r="P73" s="8">
        <f>+P69+P70+P72</f>
        <v>164000</v>
      </c>
      <c r="Q73" s="8">
        <f>+Q69+Q70+Q72</f>
        <v>143000</v>
      </c>
    </row>
    <row r="74" spans="1:17" ht="15.75" customHeight="1">
      <c r="A74" s="11" t="s">
        <v>183</v>
      </c>
      <c r="B74" s="5" t="s">
        <v>232</v>
      </c>
      <c r="C74" s="16">
        <f>+C20</f>
        <v>0.25</v>
      </c>
      <c r="D74" s="8">
        <f>ROUND(+D73*$C74,-3)</f>
        <v>149000</v>
      </c>
      <c r="E74" s="8">
        <f>ROUND(+E73*$C74,-3)</f>
        <v>60000</v>
      </c>
      <c r="F74" s="8">
        <f>ROUND(+F73*$C74,-3)</f>
        <v>38000</v>
      </c>
      <c r="G74" s="8">
        <f>ROUND(+G73*$C74,-3)</f>
        <v>34000</v>
      </c>
      <c r="H74" s="183"/>
      <c r="I74" s="8">
        <f>ROUND(+I73*$C74,-3)</f>
        <v>96000</v>
      </c>
      <c r="J74" s="8">
        <f>ROUND(+J73*$C74,-3)</f>
        <v>55000</v>
      </c>
      <c r="K74" s="8">
        <f>ROUND(+K73*$C74,-3)</f>
        <v>38000</v>
      </c>
      <c r="L74" s="8">
        <f>ROUND(+L73*$C74,-3)</f>
        <v>32000</v>
      </c>
      <c r="M74" s="183"/>
      <c r="N74" s="8">
        <f>ROUND(+N73*$C74,-3)</f>
        <v>99000</v>
      </c>
      <c r="O74" s="8">
        <f>ROUND(+O73*$C74,-3)</f>
        <v>58000</v>
      </c>
      <c r="P74" s="8">
        <f>ROUND(+P73*$C74,-3)</f>
        <v>41000</v>
      </c>
      <c r="Q74" s="8">
        <f>ROUND(+Q73*$C74,-3)</f>
        <v>36000</v>
      </c>
    </row>
    <row r="75" spans="1:17" ht="15.75" customHeight="1">
      <c r="A75" s="26" t="s">
        <v>56</v>
      </c>
      <c r="B75" s="192"/>
      <c r="C75" s="16"/>
      <c r="D75" s="8">
        <f>SUM(D73:D74)</f>
        <v>745000</v>
      </c>
      <c r="E75" s="8">
        <f>SUM(E73:E74)</f>
        <v>299000</v>
      </c>
      <c r="F75" s="8">
        <f>SUM(F73:F74)</f>
        <v>191000</v>
      </c>
      <c r="G75" s="8">
        <f>SUM(G73:G74)</f>
        <v>170000</v>
      </c>
      <c r="H75" s="183"/>
      <c r="I75" s="8">
        <f>SUM(I73:I74)</f>
        <v>481000</v>
      </c>
      <c r="J75" s="8">
        <f>SUM(J73:J74)</f>
        <v>276000</v>
      </c>
      <c r="K75" s="8">
        <f>SUM(K73:K74)</f>
        <v>188000</v>
      </c>
      <c r="L75" s="8">
        <f>SUM(L73:L74)</f>
        <v>159000</v>
      </c>
      <c r="M75" s="183"/>
      <c r="N75" s="8">
        <f>SUM(N73:N74)</f>
        <v>493000</v>
      </c>
      <c r="O75" s="8">
        <f>SUM(O73:O74)</f>
        <v>289000</v>
      </c>
      <c r="P75" s="8">
        <f>SUM(P73:P74)</f>
        <v>205000</v>
      </c>
      <c r="Q75" s="8">
        <f>SUM(Q73:Q74)</f>
        <v>179000</v>
      </c>
    </row>
    <row r="76" spans="1:17" ht="16.5" customHeight="1">
      <c r="A76" s="191" t="s">
        <v>184</v>
      </c>
      <c r="B76" s="5"/>
      <c r="C76" s="5"/>
      <c r="D76" s="131">
        <f>ROUNDUP(+D75*12/(D64*1000),2)</f>
        <v>1.87</v>
      </c>
      <c r="E76" s="131">
        <f>ROUNDUP(+E75*12/(E64*1000),2)</f>
        <v>2.25</v>
      </c>
      <c r="F76" s="131">
        <f>ROUNDUP(+F75*12/(F64*1000),2)</f>
        <v>4.779999999999999</v>
      </c>
      <c r="G76" s="131">
        <f>ROUNDUP(+G75*12/(G64*1000),2)</f>
        <v>8.5</v>
      </c>
      <c r="I76" s="131">
        <f>ROUNDUP(+I75*12/(I64*1000),2)</f>
        <v>1.21</v>
      </c>
      <c r="J76" s="131">
        <f>ROUNDUP(+J75*12/(J64*1000),2)</f>
        <v>2.07</v>
      </c>
      <c r="K76" s="131">
        <f>ROUNDUP(+K75*12/(K64*1000),2)</f>
        <v>4.7</v>
      </c>
      <c r="L76" s="131">
        <f>ROUNDUP(+L75*12/(L64*1000),2)</f>
        <v>7.95</v>
      </c>
      <c r="N76" s="131">
        <f>ROUNDUP(+N75*12/(N64*1000),2)</f>
        <v>1.24</v>
      </c>
      <c r="O76" s="131">
        <f>ROUNDUP(+O75*12/(O64*1000),2)</f>
        <v>2.17</v>
      </c>
      <c r="P76" s="131">
        <f>ROUNDUP(+P75*12/(P64*1000),2)</f>
        <v>5.13</v>
      </c>
      <c r="Q76" s="131">
        <f>ROUNDUP(+Q75*12/(Q64*1000),2)</f>
        <v>8.95</v>
      </c>
    </row>
    <row r="80" spans="1:17" ht="15.75" customHeight="1">
      <c r="A80" s="11" t="s">
        <v>176</v>
      </c>
      <c r="B80" s="5"/>
      <c r="C80" s="5"/>
      <c r="D80" s="36">
        <f>+D64</f>
        <v>4800</v>
      </c>
      <c r="E80" s="36">
        <f>+E64</f>
        <v>1600</v>
      </c>
      <c r="F80" s="36">
        <f>+F64</f>
        <v>480</v>
      </c>
      <c r="G80" s="36">
        <f>+G64</f>
        <v>240</v>
      </c>
      <c r="K80" s="11" t="s">
        <v>175</v>
      </c>
      <c r="L80" s="992"/>
      <c r="M80" s="993"/>
      <c r="N80" s="36">
        <f>+D63</f>
        <v>9600</v>
      </c>
      <c r="O80" s="36">
        <f>+E63</f>
        <v>2100</v>
      </c>
      <c r="P80" s="36">
        <f>+F63</f>
        <v>600</v>
      </c>
      <c r="Q80" s="36">
        <f>+G63</f>
        <v>300</v>
      </c>
    </row>
    <row r="81" spans="1:17" ht="12.75">
      <c r="A81" s="5" t="s">
        <v>157</v>
      </c>
      <c r="B81" s="5"/>
      <c r="C81" s="196" t="s">
        <v>187</v>
      </c>
      <c r="D81" s="186">
        <f>+D71</f>
        <v>2.31807</v>
      </c>
      <c r="E81" s="186">
        <f>+E71</f>
        <v>1.19807</v>
      </c>
      <c r="F81" s="186">
        <f>+F71</f>
        <v>0.8060700000000001</v>
      </c>
      <c r="G81" s="186">
        <f>+G71</f>
        <v>0.72207</v>
      </c>
      <c r="K81" s="5" t="s">
        <v>157</v>
      </c>
      <c r="L81" s="1068" t="s">
        <v>5</v>
      </c>
      <c r="M81" s="1069"/>
      <c r="N81" s="185">
        <f>+D66</f>
        <v>23.82389</v>
      </c>
      <c r="O81" s="185">
        <f>+E66</f>
        <v>8.223889999999999</v>
      </c>
      <c r="P81" s="185">
        <f>+F66</f>
        <v>5.10389</v>
      </c>
      <c r="Q81" s="185">
        <f>+G66</f>
        <v>4.47989</v>
      </c>
    </row>
    <row r="82" spans="1:17" ht="12.75">
      <c r="A82" s="5" t="s">
        <v>156</v>
      </c>
      <c r="B82" s="5"/>
      <c r="C82" s="196" t="s">
        <v>187</v>
      </c>
      <c r="D82" s="186">
        <f>+I71</f>
        <v>2.16975</v>
      </c>
      <c r="E82" s="186">
        <f>+J71</f>
        <v>1.17775</v>
      </c>
      <c r="F82" s="186">
        <f>+K71</f>
        <v>0.8305499999999999</v>
      </c>
      <c r="G82" s="186">
        <f>+L71</f>
        <v>0.75615</v>
      </c>
      <c r="K82" s="5" t="s">
        <v>156</v>
      </c>
      <c r="L82" s="1068" t="s">
        <v>5</v>
      </c>
      <c r="M82" s="1069"/>
      <c r="N82" s="185">
        <f>+I66</f>
        <v>12.032027344143389</v>
      </c>
      <c r="O82" s="185">
        <f>+J66</f>
        <v>7.26431998641855</v>
      </c>
      <c r="P82" s="185">
        <f>+K66</f>
        <v>4.792464833793014</v>
      </c>
      <c r="Q82" s="185">
        <f>+L66</f>
        <v>3.8072725351223373</v>
      </c>
    </row>
    <row r="83" spans="1:17" ht="12.75">
      <c r="A83" s="5" t="s">
        <v>163</v>
      </c>
      <c r="B83" s="5"/>
      <c r="C83" s="196" t="s">
        <v>187</v>
      </c>
      <c r="D83" s="186">
        <f>+N71</f>
        <v>3.0160600000000004</v>
      </c>
      <c r="E83" s="186">
        <f>+O71</f>
        <v>1.54406</v>
      </c>
      <c r="F83" s="186">
        <f>+P71</f>
        <v>1.0288599999999999</v>
      </c>
      <c r="G83" s="186">
        <f>+Q71</f>
        <v>0.91846</v>
      </c>
      <c r="K83" s="5" t="s">
        <v>163</v>
      </c>
      <c r="L83" s="1068" t="s">
        <v>5</v>
      </c>
      <c r="M83" s="1069"/>
      <c r="N83" s="185">
        <f>+N66</f>
        <v>8.436056959732493</v>
      </c>
      <c r="O83" s="185">
        <f>+O66</f>
        <v>6.036467483256711</v>
      </c>
      <c r="P83" s="185">
        <f>+P66</f>
        <v>4.581083426546046</v>
      </c>
      <c r="Q83" s="185">
        <f>+Q66</f>
        <v>3.9325601602869646</v>
      </c>
    </row>
    <row r="84" spans="1:7" ht="12.75">
      <c r="A84" s="5" t="s">
        <v>157</v>
      </c>
      <c r="B84" s="5"/>
      <c r="C84" s="195" t="s">
        <v>184</v>
      </c>
      <c r="D84" s="131">
        <f>+D76</f>
        <v>1.87</v>
      </c>
      <c r="E84" s="131">
        <f>+E76</f>
        <v>2.25</v>
      </c>
      <c r="F84" s="131">
        <f>+F76</f>
        <v>4.779999999999999</v>
      </c>
      <c r="G84" s="131">
        <f>+G76</f>
        <v>8.5</v>
      </c>
    </row>
    <row r="85" spans="1:7" ht="12.75">
      <c r="A85" s="5" t="s">
        <v>156</v>
      </c>
      <c r="B85" s="5"/>
      <c r="C85" s="195" t="s">
        <v>184</v>
      </c>
      <c r="D85" s="131">
        <f>+I76</f>
        <v>1.21</v>
      </c>
      <c r="E85" s="131">
        <f>+J76</f>
        <v>2.07</v>
      </c>
      <c r="F85" s="131">
        <f>+K76</f>
        <v>4.7</v>
      </c>
      <c r="G85" s="131">
        <f>+L76</f>
        <v>7.95</v>
      </c>
    </row>
    <row r="86" spans="1:7" ht="12.75">
      <c r="A86" s="5" t="s">
        <v>163</v>
      </c>
      <c r="B86" s="5"/>
      <c r="C86" s="195" t="s">
        <v>184</v>
      </c>
      <c r="D86" s="131">
        <f>+N76</f>
        <v>1.24</v>
      </c>
      <c r="E86" s="131">
        <f>+O76</f>
        <v>2.17</v>
      </c>
      <c r="F86" s="131">
        <f>+P76</f>
        <v>5.13</v>
      </c>
      <c r="G86" s="131">
        <f>+Q76</f>
        <v>8.95</v>
      </c>
    </row>
    <row r="91" spans="1:11" ht="12.75">
      <c r="A91" s="1"/>
      <c r="B91" s="1"/>
      <c r="C91" s="1"/>
      <c r="D91" s="1"/>
      <c r="E91" s="1"/>
      <c r="F91" s="1"/>
      <c r="G91" s="1"/>
      <c r="H91" s="1"/>
      <c r="I91" s="1"/>
      <c r="J91" s="1"/>
      <c r="K91" s="1"/>
    </row>
    <row r="92" spans="1:11" ht="12.75">
      <c r="A92" s="1"/>
      <c r="B92" s="1"/>
      <c r="C92" s="161"/>
      <c r="D92" s="161"/>
      <c r="E92" s="162"/>
      <c r="F92" s="162"/>
      <c r="G92" s="161"/>
      <c r="H92" s="161"/>
      <c r="I92" s="161"/>
      <c r="J92" s="1"/>
      <c r="K92" s="1"/>
    </row>
  </sheetData>
  <sheetProtection password="C7CA" sheet="1" objects="1" scenarios="1"/>
  <mergeCells count="17">
    <mergeCell ref="B3:P3"/>
    <mergeCell ref="A1:Q1"/>
    <mergeCell ref="D7:G7"/>
    <mergeCell ref="I7:L7"/>
    <mergeCell ref="N7:Q7"/>
    <mergeCell ref="N61:Q61"/>
    <mergeCell ref="L26:M26"/>
    <mergeCell ref="L27:M27"/>
    <mergeCell ref="L28:M28"/>
    <mergeCell ref="L29:M29"/>
    <mergeCell ref="A15:B15"/>
    <mergeCell ref="L81:M81"/>
    <mergeCell ref="L82:M82"/>
    <mergeCell ref="L83:M83"/>
    <mergeCell ref="L80:M80"/>
    <mergeCell ref="D61:G61"/>
    <mergeCell ref="I61:L61"/>
  </mergeCells>
  <printOptions/>
  <pageMargins left="0.75" right="0.75" top="1" bottom="1" header="0.5" footer="0.5"/>
  <pageSetup fitToHeight="1" fitToWidth="1" horizontalDpi="300" verticalDpi="300" orientation="portrait" paperSize="8" scale="63" r:id="rId2"/>
  <headerFooter alignWithMargins="0">
    <oddFooter>&amp;L&amp;"Arial,Bold"&amp;8&amp;F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 T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Clements</dc:creator>
  <cp:keywords/>
  <dc:description/>
  <cp:lastModifiedBy>TorbenK</cp:lastModifiedBy>
  <cp:lastPrinted>2003-06-03T13:43:05Z</cp:lastPrinted>
  <dcterms:created xsi:type="dcterms:W3CDTF">2002-01-08T13:45:29Z</dcterms:created>
  <dcterms:modified xsi:type="dcterms:W3CDTF">2003-06-04T08:51:33Z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